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3 Архив\6 FX 2024.08.10\"/>
    </mc:Choice>
  </mc:AlternateContent>
  <bookViews>
    <workbookView xWindow="0" yWindow="0" windowWidth="6900" windowHeight="4056" tabRatio="889"/>
  </bookViews>
  <sheets>
    <sheet name="23" sheetId="20" r:id="rId1"/>
    <sheet name="Анализ безотката EURUSD_4" sheetId="4" state="hidden" r:id="rId2"/>
  </sheet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QDjKMCBsbhG9z1mwevkJaxJnA7mZDeXfYxuygEvp0iM="/>
    </ext>
  </extLst>
</workbook>
</file>

<file path=xl/calcChain.xml><?xml version="1.0" encoding="utf-8"?>
<calcChain xmlns="http://schemas.openxmlformats.org/spreadsheetml/2006/main">
  <c r="F3" i="20" l="1"/>
  <c r="F13" i="20" l="1"/>
  <c r="I13" i="20" l="1"/>
  <c r="H3" i="20" l="1"/>
  <c r="E3" i="20"/>
  <c r="AP22" i="20"/>
  <c r="AO22" i="20"/>
  <c r="AN22" i="20"/>
  <c r="AL22" i="20"/>
  <c r="AE22" i="20"/>
  <c r="AP21" i="20"/>
  <c r="AO21" i="20"/>
  <c r="AN21" i="20"/>
  <c r="AM21" i="20"/>
  <c r="AL21" i="20"/>
  <c r="AE21" i="20"/>
  <c r="X21" i="20"/>
  <c r="AP20" i="20"/>
  <c r="AQ20" i="20" s="1"/>
  <c r="AO20" i="20"/>
  <c r="AN20" i="20"/>
  <c r="AM20" i="20"/>
  <c r="AL20" i="20"/>
  <c r="AE20" i="20"/>
  <c r="AP19" i="20"/>
  <c r="AQ19" i="20" s="1"/>
  <c r="AO19" i="20"/>
  <c r="AN19" i="20"/>
  <c r="AL19" i="20"/>
  <c r="AE19" i="20"/>
  <c r="X19" i="20"/>
  <c r="AP18" i="20"/>
  <c r="AQ18" i="20" s="1"/>
  <c r="AO18" i="20"/>
  <c r="AN18" i="20"/>
  <c r="AL18" i="20"/>
  <c r="AE18" i="20"/>
  <c r="AP17" i="20"/>
  <c r="AQ17" i="20" s="1"/>
  <c r="AO17" i="20"/>
  <c r="AN17" i="20"/>
  <c r="AL17" i="20"/>
  <c r="AE17" i="20"/>
  <c r="AP16" i="20"/>
  <c r="AQ16" i="20" s="1"/>
  <c r="AO16" i="20"/>
  <c r="AN16" i="20"/>
  <c r="AL16" i="20"/>
  <c r="AP15" i="20"/>
  <c r="AQ15" i="20" s="1"/>
  <c r="AO15" i="20"/>
  <c r="AN15" i="20"/>
  <c r="AM15" i="20"/>
  <c r="AL15" i="20"/>
  <c r="AE15" i="20"/>
  <c r="X15" i="20"/>
  <c r="AP14" i="20"/>
  <c r="AO14" i="20"/>
  <c r="AN14" i="20"/>
  <c r="AM14" i="20"/>
  <c r="AL14" i="20"/>
  <c r="AE14" i="20"/>
  <c r="AP13" i="20"/>
  <c r="AQ13" i="20" s="1"/>
  <c r="AO13" i="20"/>
  <c r="AN13" i="20"/>
  <c r="AL13" i="20"/>
  <c r="AE13" i="20"/>
  <c r="X13" i="20"/>
  <c r="AP12" i="20"/>
  <c r="AO12" i="20"/>
  <c r="AN12" i="20"/>
  <c r="AM12" i="20"/>
  <c r="AL12" i="20"/>
  <c r="AE12" i="20"/>
  <c r="X12" i="20"/>
  <c r="AP11" i="20"/>
  <c r="AQ11" i="20" s="1"/>
  <c r="AO11" i="20"/>
  <c r="AN11" i="20"/>
  <c r="AL11" i="20"/>
  <c r="AE11" i="20"/>
  <c r="X11" i="20"/>
  <c r="AP10" i="20"/>
  <c r="AQ10" i="20" s="1"/>
  <c r="AO10" i="20"/>
  <c r="AN10" i="20"/>
  <c r="AL10" i="20"/>
  <c r="AE10" i="20"/>
  <c r="X10" i="20"/>
  <c r="AP9" i="20"/>
  <c r="AQ9" i="20" s="1"/>
  <c r="AO9" i="20"/>
  <c r="AN9" i="20"/>
  <c r="AM9" i="20"/>
  <c r="AL9" i="20"/>
  <c r="AE9" i="20"/>
  <c r="AP8" i="20"/>
  <c r="AO8" i="20"/>
  <c r="AN8" i="20"/>
  <c r="AM8" i="20"/>
  <c r="AL8" i="20"/>
  <c r="AE8" i="20"/>
  <c r="X8" i="20"/>
  <c r="AP7" i="20"/>
  <c r="AQ7" i="20" s="1"/>
  <c r="AO7" i="20"/>
  <c r="AN7" i="20"/>
  <c r="AL7" i="20"/>
  <c r="AE7" i="20"/>
  <c r="X7" i="20"/>
  <c r="AP6" i="20"/>
  <c r="AO6" i="20"/>
  <c r="AN6" i="20"/>
  <c r="AM6" i="20"/>
  <c r="AL6" i="20"/>
  <c r="AE6" i="20"/>
  <c r="AP5" i="20"/>
  <c r="AQ5" i="20" s="1"/>
  <c r="AO5" i="20"/>
  <c r="AN5" i="20"/>
  <c r="AL5" i="20"/>
  <c r="AE5" i="20"/>
  <c r="X5" i="20"/>
  <c r="AP4" i="20"/>
  <c r="AQ4" i="20" s="1"/>
  <c r="AO4" i="20"/>
  <c r="AN4" i="20"/>
  <c r="AL4" i="20"/>
  <c r="AE4" i="20"/>
  <c r="AP3" i="20"/>
  <c r="AQ3" i="20" s="1"/>
  <c r="AO3" i="20"/>
  <c r="AN3" i="20"/>
  <c r="AL3" i="20"/>
  <c r="AE3" i="20"/>
  <c r="AQ22" i="20" l="1"/>
  <c r="AV22" i="20"/>
  <c r="AV10" i="20"/>
  <c r="AV3" i="20"/>
  <c r="AV16" i="20"/>
  <c r="AV19" i="20"/>
  <c r="AV11" i="20"/>
  <c r="AV18" i="20"/>
  <c r="AV4" i="20"/>
  <c r="AV5" i="20"/>
  <c r="AV7" i="20"/>
  <c r="AV13" i="20"/>
  <c r="AV17" i="20"/>
  <c r="AQ8" i="20"/>
  <c r="AT3" i="20"/>
  <c r="AZ3" i="20" s="1"/>
  <c r="H4" i="20"/>
  <c r="AQ6" i="20"/>
  <c r="AQ12" i="20"/>
  <c r="AQ14" i="20"/>
  <c r="AQ21" i="20"/>
  <c r="AX3" i="20" l="1"/>
  <c r="H5" i="20"/>
  <c r="AT4" i="20"/>
  <c r="AZ4" i="20" s="1"/>
  <c r="H6" i="20" l="1"/>
  <c r="AT5" i="20"/>
  <c r="AZ5" i="20" s="1"/>
  <c r="AX4" i="20"/>
  <c r="H7" i="20" l="1"/>
  <c r="AT6" i="20"/>
  <c r="AZ6" i="20" s="1"/>
  <c r="AU6" i="20"/>
  <c r="BA6" i="20" s="1"/>
  <c r="AX5" i="20"/>
  <c r="AY6" i="20" l="1"/>
  <c r="AW6" i="20" s="1"/>
  <c r="H8" i="20"/>
  <c r="AT7" i="20"/>
  <c r="AX6" i="20"/>
  <c r="AV6" i="20" s="1"/>
  <c r="H9" i="20" l="1"/>
  <c r="AU8" i="20"/>
  <c r="BA8" i="20" s="1"/>
  <c r="AT8" i="20"/>
  <c r="AZ8" i="20" s="1"/>
  <c r="AZ7" i="20"/>
  <c r="AX7" i="20"/>
  <c r="AX8" i="20" l="1"/>
  <c r="AV8" i="20" s="1"/>
  <c r="H10" i="20"/>
  <c r="AT9" i="20"/>
  <c r="AZ9" i="20" s="1"/>
  <c r="AU9" i="20"/>
  <c r="BA9" i="20" s="1"/>
  <c r="AY8" i="20"/>
  <c r="AW8" i="20" s="1"/>
  <c r="AY9" i="20" l="1"/>
  <c r="AW9" i="20" s="1"/>
  <c r="AT20" i="20"/>
  <c r="AZ20" i="20" s="1"/>
  <c r="H11" i="20"/>
  <c r="AT10" i="20"/>
  <c r="AU20" i="20"/>
  <c r="BA20" i="20" s="1"/>
  <c r="AX9" i="20"/>
  <c r="AV9" i="20" s="1"/>
  <c r="AY20" i="20" l="1"/>
  <c r="AW20" i="20" s="1"/>
  <c r="AX20" i="20"/>
  <c r="AV20" i="20" s="1"/>
  <c r="H12" i="20"/>
  <c r="AT11" i="20"/>
  <c r="AZ11" i="20" s="1"/>
  <c r="AZ10" i="20"/>
  <c r="AX10" i="20"/>
  <c r="AX11" i="20" l="1"/>
  <c r="H13" i="20"/>
  <c r="AT12" i="20"/>
  <c r="AZ12" i="20" s="1"/>
  <c r="AU12" i="20"/>
  <c r="BA12" i="20" s="1"/>
  <c r="H14" i="20" l="1"/>
  <c r="AT13" i="20"/>
  <c r="AZ13" i="20" s="1"/>
  <c r="AX12" i="20"/>
  <c r="AV12" i="20" s="1"/>
  <c r="AY12" i="20"/>
  <c r="AW12" i="20" s="1"/>
  <c r="AX13" i="20" l="1"/>
  <c r="AT14" i="20"/>
  <c r="AZ14" i="20" s="1"/>
  <c r="H15" i="20"/>
  <c r="AU14" i="20"/>
  <c r="BA14" i="20" s="1"/>
  <c r="AY14" i="20" l="1"/>
  <c r="AW14" i="20" s="1"/>
  <c r="AX14" i="20"/>
  <c r="AV14" i="20" s="1"/>
  <c r="H16" i="20"/>
  <c r="AT15" i="20"/>
  <c r="AZ15" i="20" s="1"/>
  <c r="AU15" i="20"/>
  <c r="BA15" i="20" s="1"/>
  <c r="AY15" i="20" l="1"/>
  <c r="AW15" i="20" s="1"/>
  <c r="AX15" i="20"/>
  <c r="AV15" i="20" s="1"/>
  <c r="H17" i="20"/>
  <c r="AT16" i="20"/>
  <c r="AZ16" i="20" s="1"/>
  <c r="AX16" i="20" l="1"/>
  <c r="H18" i="20"/>
  <c r="AT17" i="20"/>
  <c r="AZ17" i="20" s="1"/>
  <c r="AX17" i="20" l="1"/>
  <c r="H19" i="20"/>
  <c r="AT18" i="20"/>
  <c r="AZ18" i="20" s="1"/>
  <c r="AT22" i="20" l="1"/>
  <c r="AX22" i="20" s="1"/>
  <c r="H20" i="20"/>
  <c r="H21" i="20" s="1"/>
  <c r="AT19" i="20"/>
  <c r="AZ19" i="20" s="1"/>
  <c r="AX18" i="20"/>
  <c r="AZ22" i="20" l="1"/>
  <c r="AX19" i="20"/>
  <c r="H22" i="20"/>
  <c r="H23" i="20" s="1"/>
  <c r="H24" i="20" s="1"/>
  <c r="AT21" i="20"/>
  <c r="AZ21" i="20" s="1"/>
  <c r="AU21" i="20"/>
  <c r="BA21" i="20" s="1"/>
  <c r="AX21" i="20" l="1"/>
  <c r="AV21" i="20" s="1"/>
  <c r="AY21" i="20"/>
  <c r="AW21" i="20" s="1"/>
  <c r="G57" i="4" l="1"/>
  <c r="G55" i="4"/>
  <c r="G23" i="4"/>
  <c r="G21" i="4"/>
</calcChain>
</file>

<file path=xl/sharedStrings.xml><?xml version="1.0" encoding="utf-8"?>
<sst xmlns="http://schemas.openxmlformats.org/spreadsheetml/2006/main" count="481" uniqueCount="180">
  <si>
    <t>EURUSD_2021.08.01-2023.02.20_анбезоткат4сет1мод2_sell_autoMM_lot0,2_MinD14000</t>
  </si>
  <si>
    <t xml:space="preserve"> </t>
  </si>
  <si>
    <t>Кол-во колен</t>
  </si>
  <si>
    <t xml:space="preserve">Спред тестера  </t>
  </si>
  <si>
    <t>макс.спред</t>
  </si>
  <si>
    <t>Период опта</t>
  </si>
  <si>
    <t>Формат файла</t>
  </si>
  <si>
    <t>Название файла</t>
  </si>
  <si>
    <t>Результат</t>
  </si>
  <si>
    <t>% за весь период теста</t>
  </si>
  <si>
    <t>% за год</t>
  </si>
  <si>
    <t>Тест</t>
  </si>
  <si>
    <t>1. Анализ безотката только на sell</t>
  </si>
  <si>
    <t>2021.08.01-2023.02.20</t>
  </si>
  <si>
    <t>Работа со скриптом на графике</t>
  </si>
  <si>
    <t>-</t>
  </si>
  <si>
    <t>538п</t>
  </si>
  <si>
    <t>2. Проектирование сета в Модели</t>
  </si>
  <si>
    <t>файл модели</t>
  </si>
  <si>
    <t>EURUSD_анбезоткат4сет1_sell</t>
  </si>
  <si>
    <t>Начальный лот</t>
  </si>
  <si>
    <t xml:space="preserve">вычисленный мин депо </t>
  </si>
  <si>
    <t>сет файл из Модели</t>
  </si>
  <si>
    <t>EURUSD_анбезоткат4cет1_sell_10колен_minlot0,2_minDepo27000_М</t>
  </si>
  <si>
    <t>3. Тест полученного с пом. Модели сета</t>
  </si>
  <si>
    <t>БИ фильтр = 2 свечи Н1, средн макс. часовой диапазон/3 за 54 недели</t>
  </si>
  <si>
    <t>10,2 (4знак)</t>
  </si>
  <si>
    <t>Фильтр волатильности на Н1 =  макс. средний часовой диапазон за 54 недели *2, 3600сек</t>
  </si>
  <si>
    <t>61 (4знак)</t>
  </si>
  <si>
    <t>не торг 1дек-10 января; 2022.09.21 - 2023.10.21</t>
  </si>
  <si>
    <t>файл отчета</t>
  </si>
  <si>
    <t>EURUSD_анбезоткат4cет1_sell_10колен_minlot0,2</t>
  </si>
  <si>
    <t>ОК</t>
  </si>
  <si>
    <t>сет файл из тестера</t>
  </si>
  <si>
    <t>4.Улучшение в Модели сета</t>
  </si>
  <si>
    <t>EURUSD_анбезоткат4сет1мод1_sell</t>
  </si>
  <si>
    <t>сделаны изменения</t>
  </si>
  <si>
    <t>8 колен, мин депо 11000</t>
  </si>
  <si>
    <t>---</t>
  </si>
  <si>
    <t>5. Тест полученного с пом. Модели сета</t>
  </si>
  <si>
    <t>EURUSD_2021.08.01-2023.02.20_анбезоткат4сет1мод2_sell_fixlot0,2_MinD14000</t>
  </si>
  <si>
    <t>сет в 29 строчке</t>
  </si>
  <si>
    <t>7. Тот же тест но с автоММ</t>
  </si>
  <si>
    <t>вычислен мин депо</t>
  </si>
  <si>
    <t>но не хватает средства на открытие 8ого колена</t>
  </si>
  <si>
    <t xml:space="preserve">8. Если мин депо изменился, то тот же тест автоММ но с новым параметрами </t>
  </si>
  <si>
    <t xml:space="preserve">что изменено </t>
  </si>
  <si>
    <t>мин депо 12000, 600 для 0,01</t>
  </si>
  <si>
    <t>не прошел</t>
  </si>
  <si>
    <t>мин депо 13000, 650 для 0,01</t>
  </si>
  <si>
    <t>мин депо 14000, 700 для 0,01</t>
  </si>
  <si>
    <t>перетестировать с фикс лотом</t>
  </si>
  <si>
    <t>документы выше</t>
  </si>
  <si>
    <t>11. Тест с фикс лот на рабочей версии советника</t>
  </si>
  <si>
    <t>рез-ты совпали с версией опта</t>
  </si>
  <si>
    <t>12. Тест с авто ММ на рабочей версии советника</t>
  </si>
  <si>
    <t>1. Анализ безотката только на bye</t>
  </si>
  <si>
    <t>Форвард</t>
  </si>
  <si>
    <t>9. Форвард тест с авто ММ</t>
  </si>
  <si>
    <t>EURUSD_2023.02.20-2023.08.20_анбезоткат4сет1мод2_sell_autoMM_автоММlot0,2_MinD14000</t>
  </si>
  <si>
    <t>2023.02.20-2023.08.20</t>
  </si>
  <si>
    <t>10. Форвард тест с фикс лот</t>
  </si>
  <si>
    <t>EURUSD_2023.02.20-2023.08.20_анбезоткат4сет1мод2_sell_fixlot0,2_MinD14000</t>
  </si>
  <si>
    <t>Форвард Рабочей версией</t>
  </si>
  <si>
    <t>11. Форвард тест с фикс лот на рабочей версии советника</t>
  </si>
  <si>
    <t>12. Форвард тест с авто ММ на рабочей версии советника</t>
  </si>
  <si>
    <t>Депо в центах</t>
  </si>
  <si>
    <t>Пара 1 корзины</t>
  </si>
  <si>
    <t>% реинвеста SELL на старте</t>
  </si>
  <si>
    <t>% реинвеста bye  на старте</t>
  </si>
  <si>
    <t>Р</t>
  </si>
  <si>
    <t>Макс время закрытия сетки, сутки</t>
  </si>
  <si>
    <t>Номер Сета</t>
  </si>
  <si>
    <t>AUDCHF</t>
  </si>
  <si>
    <t>Терминал на ВПС</t>
  </si>
  <si>
    <t>Курс $ (22.09.23)</t>
  </si>
  <si>
    <t>№№</t>
  </si>
  <si>
    <t>Макс. Просадка</t>
  </si>
  <si>
    <t>Магик номер</t>
  </si>
  <si>
    <t>Коэфф для sell</t>
  </si>
  <si>
    <t>Коэфф для bye</t>
  </si>
  <si>
    <t>USDCAD</t>
  </si>
  <si>
    <t>+</t>
  </si>
  <si>
    <t>№</t>
  </si>
  <si>
    <t>EURUSD</t>
  </si>
  <si>
    <t>GBPAUD</t>
  </si>
  <si>
    <t>NZDCHF</t>
  </si>
  <si>
    <t>EURGBP</t>
  </si>
  <si>
    <t>AUDCAD</t>
  </si>
  <si>
    <t>USDJPY</t>
  </si>
  <si>
    <t>EURAUD</t>
  </si>
  <si>
    <t>GBPCAD</t>
  </si>
  <si>
    <t>NZDUSD</t>
  </si>
  <si>
    <t>EURJPY</t>
  </si>
  <si>
    <t>AUDUSD</t>
  </si>
  <si>
    <t>EURCAD</t>
  </si>
  <si>
    <t>GBPUSD</t>
  </si>
  <si>
    <t>NZDCAD</t>
  </si>
  <si>
    <t>Current block</t>
  </si>
  <si>
    <t>MaxTradePair</t>
  </si>
  <si>
    <t>Sell_CloseAllOrders_ByDrawdownMoney for 0,01 (reinvest)</t>
  </si>
  <si>
    <t>Bye_CloseAllOrders_ByDrawdownMoney for 0,01 (reinvest)</t>
  </si>
  <si>
    <t>opt5пр247</t>
  </si>
  <si>
    <t>Тестовый доход корзины в год fix lot</t>
  </si>
  <si>
    <t>Current for min lot (reinvest)</t>
  </si>
  <si>
    <t>Stop DD/RDepo (fix)</t>
  </si>
  <si>
    <t>Stop %KDepo</t>
  </si>
  <si>
    <t>opt2пр1</t>
  </si>
  <si>
    <t>Макс. Объем ордера</t>
  </si>
  <si>
    <t>Макс. совокупный объем всех ордеров сетки</t>
  </si>
  <si>
    <t>5,78</t>
  </si>
  <si>
    <t>17,14</t>
  </si>
  <si>
    <t>USDCHF</t>
  </si>
  <si>
    <t>opt3пр91</t>
  </si>
  <si>
    <t>Название сета внутри</t>
  </si>
  <si>
    <t>AUDNZD</t>
  </si>
  <si>
    <t>EURNZD</t>
  </si>
  <si>
    <t>GBPNZD</t>
  </si>
  <si>
    <t xml:space="preserve"> opt1пр54-1</t>
  </si>
  <si>
    <t>Star lot сета Sell</t>
  </si>
  <si>
    <t>Star lot сета Bye</t>
  </si>
  <si>
    <t xml:space="preserve"> opt6пр384</t>
  </si>
  <si>
    <t>opt1пр135</t>
  </si>
  <si>
    <t>opt1пр249</t>
  </si>
  <si>
    <t>opt1пр131-1</t>
  </si>
  <si>
    <t>opt1пр126-1</t>
  </si>
  <si>
    <t>opt3пр109-1</t>
  </si>
  <si>
    <t>opt1пр124-1</t>
  </si>
  <si>
    <t>Среднее кол-во сделок в неделю</t>
  </si>
  <si>
    <t>opt1пр19</t>
  </si>
  <si>
    <t>Сумма лотов сетки</t>
  </si>
  <si>
    <t>Макс. Кол-во колен Sell</t>
  </si>
  <si>
    <t>Макс. Кол-во колен Bye</t>
  </si>
  <si>
    <t>11</t>
  </si>
  <si>
    <t>12</t>
  </si>
  <si>
    <t>15</t>
  </si>
  <si>
    <t>18</t>
  </si>
  <si>
    <t>13</t>
  </si>
  <si>
    <t>9</t>
  </si>
  <si>
    <t>10</t>
  </si>
  <si>
    <t>20</t>
  </si>
  <si>
    <t>17</t>
  </si>
  <si>
    <t>22</t>
  </si>
  <si>
    <t>27</t>
  </si>
  <si>
    <t>16</t>
  </si>
  <si>
    <t>23</t>
  </si>
  <si>
    <t>Доходность группы пар</t>
  </si>
  <si>
    <t xml:space="preserve">Kdepo </t>
  </si>
  <si>
    <t>opt3пр429</t>
  </si>
  <si>
    <t>М15_opt4пр352</t>
  </si>
  <si>
    <t>opt3пр81</t>
  </si>
  <si>
    <t>14</t>
  </si>
  <si>
    <t>opt1пр74</t>
  </si>
  <si>
    <t>Lot 1ого колена sell FIX</t>
  </si>
  <si>
    <t>Lot 1ого колена Bye FIX</t>
  </si>
  <si>
    <t>Lot 1ого колена sell Reinvest</t>
  </si>
  <si>
    <t>Lot 1ого колена Bye Reinvest</t>
  </si>
  <si>
    <t xml:space="preserve">% реинвеста Sell </t>
  </si>
  <si>
    <t>% реинвеста Bye</t>
  </si>
  <si>
    <t>Sell-Close all orders DD Money-Current for min lot (reinvest)</t>
  </si>
  <si>
    <t>Bye-Close all orders DD Money-Current for min lot (reinvest)</t>
  </si>
  <si>
    <t>opt1пр248</t>
  </si>
  <si>
    <r>
      <t>Тест раб. Версией</t>
    </r>
    <r>
      <rPr>
        <b/>
        <sz val="11"/>
        <color theme="1"/>
        <rFont val="Calibri"/>
        <family val="2"/>
        <charset val="204"/>
      </rPr>
      <t xml:space="preserve"> FIX</t>
    </r>
  </si>
  <si>
    <r>
      <t xml:space="preserve">Тест раб. Версией </t>
    </r>
    <r>
      <rPr>
        <b/>
        <sz val="11"/>
        <color theme="1"/>
        <rFont val="Calibri"/>
        <family val="2"/>
        <charset val="204"/>
      </rPr>
      <t>Reinvest 5%</t>
    </r>
  </si>
  <si>
    <t>Доходность в год  fix lot, %</t>
  </si>
  <si>
    <t>opt1пр51</t>
  </si>
  <si>
    <t>Тест раб. Версией корзины Reinvest</t>
  </si>
  <si>
    <t>Тест раб. Версией Корзины                   FIX</t>
  </si>
  <si>
    <t>Введены Current block и  max Trade</t>
  </si>
  <si>
    <t>opt1пр106-1</t>
  </si>
  <si>
    <t>24</t>
  </si>
  <si>
    <t>Готовность сета корзины FIX</t>
  </si>
  <si>
    <t>Готовность сета корзины Reinvest</t>
  </si>
  <si>
    <t>23_3 FIX (RSICCI)        23_4 Reinvest (RSICCI)</t>
  </si>
  <si>
    <t>рез мал</t>
  </si>
  <si>
    <t>Колено с закр.менее 30%</t>
  </si>
  <si>
    <t>сеты для корзины FIX</t>
  </si>
  <si>
    <t>сеты для корзины Reinvest</t>
  </si>
  <si>
    <t>Одиночные сеты (результаты тестов)</t>
  </si>
  <si>
    <t>Ориентир-Доход в год при Reinvest ~10%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</si>
</sst>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B6D7A8"/>
        <bgColor rgb="FFB6D7A8"/>
      </patternFill>
    </fill>
    <fill>
      <patternFill patternType="solid">
        <fgColor rgb="FF93C47D"/>
        <bgColor rgb="FF93C47D"/>
      </patternFill>
    </fill>
    <fill>
      <patternFill patternType="solid">
        <fgColor rgb="FF4A86E8"/>
        <bgColor rgb="FF4A86E8"/>
      </patternFill>
    </fill>
    <fill>
      <patternFill patternType="solid">
        <fgColor rgb="FFF6B26B"/>
        <bgColor rgb="FFF6B26B"/>
      </patternFill>
    </fill>
    <fill>
      <patternFill patternType="solid">
        <fgColor rgb="FFE06666"/>
        <bgColor rgb="FFE06666"/>
      </patternFill>
    </fill>
    <fill>
      <patternFill patternType="solid">
        <fgColor rgb="FFF4CCCC"/>
        <bgColor rgb="FFF4CCCC"/>
      </patternFill>
    </fill>
    <fill>
      <patternFill patternType="solid">
        <fgColor rgb="FFE69138"/>
        <bgColor rgb="FFE6913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99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9900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FF9900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15" fillId="6" borderId="8" xfId="0" applyFont="1" applyFill="1" applyBorder="1" applyAlignment="1">
      <alignment horizontal="center" wrapText="1"/>
    </xf>
    <xf numFmtId="0" fontId="15" fillId="6" borderId="7" xfId="0" applyFont="1" applyFill="1" applyBorder="1" applyAlignment="1">
      <alignment horizontal="left" wrapText="1"/>
    </xf>
    <xf numFmtId="0" fontId="15" fillId="6" borderId="1" xfId="0" applyFont="1" applyFill="1" applyBorder="1" applyAlignment="1">
      <alignment horizontal="center" wrapText="1"/>
    </xf>
    <xf numFmtId="0" fontId="15" fillId="6" borderId="7" xfId="0" applyFont="1" applyFill="1" applyBorder="1" applyAlignment="1">
      <alignment horizontal="center" wrapText="1"/>
    </xf>
    <xf numFmtId="0" fontId="15" fillId="4" borderId="1" xfId="0" applyFont="1" applyFill="1" applyBorder="1" applyAlignment="1">
      <alignment horizontal="center" wrapText="1"/>
    </xf>
    <xf numFmtId="0" fontId="15" fillId="6" borderId="7" xfId="0" applyFont="1" applyFill="1" applyBorder="1" applyAlignment="1">
      <alignment wrapText="1"/>
    </xf>
    <xf numFmtId="0" fontId="15" fillId="6" borderId="10" xfId="0" applyFont="1" applyFill="1" applyBorder="1" applyAlignment="1">
      <alignment wrapText="1"/>
    </xf>
    <xf numFmtId="0" fontId="15" fillId="0" borderId="12" xfId="0" applyFont="1" applyBorder="1" applyAlignment="1">
      <alignment horizontal="center" wrapText="1"/>
    </xf>
    <xf numFmtId="0" fontId="18" fillId="0" borderId="6" xfId="0" applyFont="1" applyBorder="1" applyAlignment="1">
      <alignment horizontal="left" wrapText="1"/>
    </xf>
    <xf numFmtId="0" fontId="15" fillId="0" borderId="6" xfId="0" applyFont="1" applyBorder="1" applyAlignment="1">
      <alignment horizontal="center" wrapText="1"/>
    </xf>
    <xf numFmtId="0" fontId="15" fillId="0" borderId="6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5" fillId="0" borderId="9" xfId="0" applyFont="1" applyBorder="1" applyAlignment="1">
      <alignment horizontal="center" wrapText="1"/>
    </xf>
    <xf numFmtId="0" fontId="15" fillId="0" borderId="4" xfId="0" applyFont="1" applyBorder="1" applyAlignment="1">
      <alignment horizontal="left" wrapText="1"/>
    </xf>
    <xf numFmtId="0" fontId="15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0" borderId="12" xfId="0" applyFont="1" applyBorder="1" applyAlignment="1">
      <alignment wrapText="1"/>
    </xf>
    <xf numFmtId="0" fontId="15" fillId="0" borderId="13" xfId="0" applyFont="1" applyBorder="1" applyAlignment="1">
      <alignment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center" wrapText="1"/>
    </xf>
    <xf numFmtId="0" fontId="15" fillId="0" borderId="11" xfId="0" applyFont="1" applyBorder="1" applyAlignment="1">
      <alignment wrapText="1"/>
    </xf>
    <xf numFmtId="0" fontId="15" fillId="0" borderId="9" xfId="0" applyFont="1" applyBorder="1" applyAlignment="1">
      <alignment wrapText="1"/>
    </xf>
    <xf numFmtId="0" fontId="15" fillId="5" borderId="1" xfId="0" applyFont="1" applyFill="1" applyBorder="1" applyAlignment="1">
      <alignment horizontal="center" wrapText="1"/>
    </xf>
    <xf numFmtId="0" fontId="15" fillId="0" borderId="13" xfId="0" applyFont="1" applyBorder="1" applyAlignment="1">
      <alignment horizontal="center" wrapText="1"/>
    </xf>
    <xf numFmtId="0" fontId="15" fillId="0" borderId="1" xfId="0" applyFont="1" applyBorder="1" applyAlignment="1">
      <alignment wrapText="1"/>
    </xf>
    <xf numFmtId="0" fontId="15" fillId="2" borderId="1" xfId="0" applyFont="1" applyFill="1" applyBorder="1" applyAlignment="1">
      <alignment horizontal="center" wrapText="1"/>
    </xf>
    <xf numFmtId="0" fontId="18" fillId="0" borderId="4" xfId="0" applyFont="1" applyBorder="1" applyAlignment="1">
      <alignment horizontal="left" wrapText="1"/>
    </xf>
    <xf numFmtId="0" fontId="18" fillId="0" borderId="0" xfId="0" applyFont="1" applyAlignment="1">
      <alignment horizontal="left" wrapText="1"/>
    </xf>
    <xf numFmtId="9" fontId="15" fillId="0" borderId="0" xfId="0" applyNumberFormat="1" applyFont="1" applyAlignment="1">
      <alignment wrapText="1"/>
    </xf>
    <xf numFmtId="0" fontId="15" fillId="5" borderId="8" xfId="0" applyFont="1" applyFill="1" applyBorder="1" applyAlignment="1">
      <alignment horizontal="center" wrapText="1"/>
    </xf>
    <xf numFmtId="0" fontId="15" fillId="4" borderId="8" xfId="0" applyFont="1" applyFill="1" applyBorder="1" applyAlignment="1">
      <alignment horizontal="center" wrapText="1"/>
    </xf>
    <xf numFmtId="0" fontId="15" fillId="2" borderId="7" xfId="0" applyFont="1" applyFill="1" applyBorder="1" applyAlignment="1">
      <alignment horizontal="center" wrapText="1"/>
    </xf>
    <xf numFmtId="0" fontId="15" fillId="4" borderId="7" xfId="0" applyFont="1" applyFill="1" applyBorder="1" applyAlignment="1">
      <alignment horizontal="center" wrapText="1"/>
    </xf>
    <xf numFmtId="9" fontId="15" fillId="0" borderId="6" xfId="0" applyNumberFormat="1" applyFont="1" applyBorder="1" applyAlignment="1">
      <alignment wrapText="1"/>
    </xf>
    <xf numFmtId="0" fontId="15" fillId="7" borderId="2" xfId="0" applyFont="1" applyFill="1" applyBorder="1" applyAlignment="1">
      <alignment horizontal="center" wrapText="1"/>
    </xf>
    <xf numFmtId="0" fontId="15" fillId="4" borderId="2" xfId="0" applyFont="1" applyFill="1" applyBorder="1" applyAlignment="1">
      <alignment horizontal="center" wrapText="1"/>
    </xf>
    <xf numFmtId="0" fontId="15" fillId="8" borderId="2" xfId="0" applyFont="1" applyFill="1" applyBorder="1" applyAlignment="1">
      <alignment horizontal="center" wrapText="1"/>
    </xf>
    <xf numFmtId="0" fontId="15" fillId="5" borderId="2" xfId="0" applyFont="1" applyFill="1" applyBorder="1" applyAlignment="1">
      <alignment horizontal="center" wrapText="1"/>
    </xf>
    <xf numFmtId="0" fontId="15" fillId="3" borderId="2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left" wrapText="1"/>
    </xf>
    <xf numFmtId="0" fontId="15" fillId="9" borderId="14" xfId="0" applyFont="1" applyFill="1" applyBorder="1" applyAlignment="1">
      <alignment wrapText="1"/>
    </xf>
    <xf numFmtId="0" fontId="15" fillId="9" borderId="2" xfId="0" applyFont="1" applyFill="1" applyBorder="1" applyAlignment="1">
      <alignment horizontal="left" wrapText="1"/>
    </xf>
    <xf numFmtId="0" fontId="15" fillId="9" borderId="1" xfId="0" applyFont="1" applyFill="1" applyBorder="1" applyAlignment="1">
      <alignment wrapText="1"/>
    </xf>
    <xf numFmtId="0" fontId="15" fillId="9" borderId="2" xfId="0" applyFont="1" applyFill="1" applyBorder="1" applyAlignment="1">
      <alignment wrapText="1"/>
    </xf>
    <xf numFmtId="0" fontId="15" fillId="4" borderId="1" xfId="0" applyFont="1" applyFill="1" applyBorder="1" applyAlignment="1">
      <alignment wrapText="1"/>
    </xf>
    <xf numFmtId="0" fontId="17" fillId="0" borderId="12" xfId="0" applyFont="1" applyBorder="1" applyAlignment="1">
      <alignment horizontal="center" wrapText="1"/>
    </xf>
    <xf numFmtId="0" fontId="19" fillId="0" borderId="6" xfId="0" applyFont="1" applyBorder="1" applyAlignment="1">
      <alignment horizontal="left" wrapText="1"/>
    </xf>
    <xf numFmtId="0" fontId="17" fillId="0" borderId="1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4" borderId="1" xfId="0" applyFont="1" applyFill="1" applyBorder="1" applyAlignment="1">
      <alignment horizontal="center" wrapText="1"/>
    </xf>
    <xf numFmtId="0" fontId="17" fillId="0" borderId="6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17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left" wrapText="1"/>
    </xf>
    <xf numFmtId="0" fontId="17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wrapText="1"/>
    </xf>
    <xf numFmtId="0" fontId="17" fillId="0" borderId="3" xfId="0" applyFont="1" applyBorder="1" applyAlignment="1">
      <alignment wrapText="1"/>
    </xf>
    <xf numFmtId="0" fontId="17" fillId="0" borderId="12" xfId="0" applyFont="1" applyBorder="1" applyAlignment="1">
      <alignment wrapText="1"/>
    </xf>
    <xf numFmtId="0" fontId="17" fillId="0" borderId="13" xfId="0" applyFont="1" applyBorder="1" applyAlignment="1">
      <alignment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17" fillId="0" borderId="11" xfId="0" applyFont="1" applyBorder="1" applyAlignment="1">
      <alignment wrapText="1"/>
    </xf>
    <xf numFmtId="0" fontId="17" fillId="0" borderId="9" xfId="0" applyFont="1" applyBorder="1" applyAlignment="1">
      <alignment wrapText="1"/>
    </xf>
    <xf numFmtId="0" fontId="17" fillId="5" borderId="1" xfId="0" applyFont="1" applyFill="1" applyBorder="1" applyAlignment="1">
      <alignment horizontal="center" wrapText="1"/>
    </xf>
    <xf numFmtId="0" fontId="17" fillId="0" borderId="13" xfId="0" applyFont="1" applyBorder="1" applyAlignment="1">
      <alignment horizontal="center" wrapText="1"/>
    </xf>
    <xf numFmtId="0" fontId="17" fillId="0" borderId="1" xfId="0" applyFont="1" applyBorder="1" applyAlignment="1">
      <alignment wrapText="1"/>
    </xf>
    <xf numFmtId="0" fontId="17" fillId="2" borderId="1" xfId="0" applyFont="1" applyFill="1" applyBorder="1" applyAlignment="1">
      <alignment horizontal="center" wrapText="1"/>
    </xf>
    <xf numFmtId="0" fontId="19" fillId="0" borderId="4" xfId="0" applyFont="1" applyBorder="1" applyAlignment="1">
      <alignment horizontal="left" wrapText="1"/>
    </xf>
    <xf numFmtId="0" fontId="19" fillId="0" borderId="0" xfId="0" applyFont="1" applyAlignment="1">
      <alignment horizontal="left" wrapText="1"/>
    </xf>
    <xf numFmtId="9" fontId="17" fillId="0" borderId="0" xfId="0" applyNumberFormat="1" applyFont="1" applyAlignment="1">
      <alignment wrapText="1"/>
    </xf>
    <xf numFmtId="0" fontId="17" fillId="5" borderId="8" xfId="0" applyFont="1" applyFill="1" applyBorder="1" applyAlignment="1">
      <alignment horizontal="center" wrapText="1"/>
    </xf>
    <xf numFmtId="0" fontId="17" fillId="4" borderId="8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horizontal="center" wrapText="1"/>
    </xf>
    <xf numFmtId="0" fontId="17" fillId="4" borderId="7" xfId="0" applyFont="1" applyFill="1" applyBorder="1" applyAlignment="1">
      <alignment horizontal="center" wrapText="1"/>
    </xf>
    <xf numFmtId="9" fontId="17" fillId="0" borderId="6" xfId="0" applyNumberFormat="1" applyFont="1" applyBorder="1" applyAlignment="1">
      <alignment wrapText="1"/>
    </xf>
    <xf numFmtId="0" fontId="17" fillId="0" borderId="0" xfId="0" applyFont="1" applyAlignment="1">
      <alignment horizontal="center"/>
    </xf>
    <xf numFmtId="0" fontId="17" fillId="7" borderId="2" xfId="0" applyFont="1" applyFill="1" applyBorder="1" applyAlignment="1">
      <alignment horizontal="center" wrapText="1"/>
    </xf>
    <xf numFmtId="0" fontId="17" fillId="4" borderId="2" xfId="0" applyFont="1" applyFill="1" applyBorder="1" applyAlignment="1">
      <alignment horizontal="center" wrapText="1"/>
    </xf>
    <xf numFmtId="0" fontId="17" fillId="8" borderId="2" xfId="0" applyFont="1" applyFill="1" applyBorder="1" applyAlignment="1">
      <alignment horizontal="center" wrapText="1"/>
    </xf>
    <xf numFmtId="0" fontId="17" fillId="5" borderId="2" xfId="0" applyFont="1" applyFill="1" applyBorder="1" applyAlignment="1">
      <alignment horizontal="center" wrapText="1"/>
    </xf>
    <xf numFmtId="0" fontId="17" fillId="3" borderId="2" xfId="0" applyFont="1" applyFill="1" applyBorder="1" applyAlignment="1">
      <alignment horizontal="center" wrapText="1"/>
    </xf>
    <xf numFmtId="0" fontId="19" fillId="0" borderId="1" xfId="0" applyFont="1" applyBorder="1" applyAlignment="1">
      <alignment horizontal="left" wrapText="1"/>
    </xf>
    <xf numFmtId="0" fontId="17" fillId="4" borderId="1" xfId="0" applyFont="1" applyFill="1" applyBorder="1" applyAlignment="1">
      <alignment wrapText="1"/>
    </xf>
    <xf numFmtId="0" fontId="0" fillId="0" borderId="15" xfId="0" applyBorder="1"/>
    <xf numFmtId="1" fontId="15" fillId="0" borderId="15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" fontId="15" fillId="0" borderId="21" xfId="0" applyNumberFormat="1" applyFont="1" applyBorder="1" applyAlignment="1">
      <alignment horizontal="center" vertical="center"/>
    </xf>
    <xf numFmtId="49" fontId="15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0" fillId="0" borderId="19" xfId="0" applyBorder="1"/>
    <xf numFmtId="10" fontId="16" fillId="0" borderId="15" xfId="0" applyNumberFormat="1" applyFont="1" applyBorder="1" applyAlignment="1">
      <alignment horizontal="center" vertical="center"/>
    </xf>
    <xf numFmtId="0" fontId="16" fillId="11" borderId="22" xfId="0" applyFont="1" applyFill="1" applyBorder="1" applyAlignment="1">
      <alignment horizontal="center" vertical="center" wrapText="1"/>
    </xf>
    <xf numFmtId="10" fontId="15" fillId="12" borderId="23" xfId="0" applyNumberFormat="1" applyFont="1" applyFill="1" applyBorder="1" applyAlignment="1">
      <alignment horizontal="center" vertical="center" wrapText="1"/>
    </xf>
    <xf numFmtId="0" fontId="15" fillId="12" borderId="23" xfId="0" applyFont="1" applyFill="1" applyBorder="1" applyAlignment="1">
      <alignment horizontal="center" vertical="center" wrapText="1"/>
    </xf>
    <xf numFmtId="2" fontId="15" fillId="12" borderId="22" xfId="0" applyNumberFormat="1" applyFont="1" applyFill="1" applyBorder="1" applyAlignment="1">
      <alignment horizontal="center" vertical="center" wrapText="1"/>
    </xf>
    <xf numFmtId="2" fontId="15" fillId="12" borderId="23" xfId="0" applyNumberFormat="1" applyFont="1" applyFill="1" applyBorder="1" applyAlignment="1">
      <alignment horizontal="center" vertical="center" wrapText="1"/>
    </xf>
    <xf numFmtId="10" fontId="16" fillId="0" borderId="25" xfId="0" applyNumberFormat="1" applyFont="1" applyBorder="1" applyAlignment="1">
      <alignment horizontal="center" vertical="center"/>
    </xf>
    <xf numFmtId="10" fontId="16" fillId="0" borderId="26" xfId="0" applyNumberFormat="1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1" fontId="15" fillId="0" borderId="25" xfId="0" applyNumberFormat="1" applyFon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0" borderId="38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17" borderId="15" xfId="0" applyFill="1" applyBorder="1"/>
    <xf numFmtId="0" fontId="0" fillId="0" borderId="26" xfId="0" applyBorder="1" applyAlignment="1">
      <alignment horizontal="center" vertical="center"/>
    </xf>
    <xf numFmtId="1" fontId="15" fillId="0" borderId="41" xfId="0" applyNumberFormat="1" applyFont="1" applyBorder="1" applyAlignment="1">
      <alignment horizontal="center" vertical="center"/>
    </xf>
    <xf numFmtId="0" fontId="0" fillId="17" borderId="21" xfId="0" applyFill="1" applyBorder="1"/>
    <xf numFmtId="10" fontId="0" fillId="0" borderId="21" xfId="0" applyNumberForma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0" fontId="20" fillId="10" borderId="15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17" borderId="23" xfId="0" applyFill="1" applyBorder="1"/>
    <xf numFmtId="0" fontId="0" fillId="11" borderId="23" xfId="0" applyFill="1" applyBorder="1"/>
    <xf numFmtId="1" fontId="13" fillId="0" borderId="15" xfId="0" applyNumberFormat="1" applyFont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20" fillId="15" borderId="15" xfId="0" applyFont="1" applyFill="1" applyBorder="1" applyAlignment="1">
      <alignment horizontal="center" vertical="center"/>
    </xf>
    <xf numFmtId="1" fontId="23" fillId="0" borderId="41" xfId="0" applyNumberFormat="1" applyFont="1" applyBorder="1" applyAlignment="1">
      <alignment vertical="center"/>
    </xf>
    <xf numFmtId="10" fontId="0" fillId="0" borderId="41" xfId="0" applyNumberFormat="1" applyBorder="1" applyAlignment="1">
      <alignment vertical="center"/>
    </xf>
    <xf numFmtId="0" fontId="13" fillId="15" borderId="19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0" fontId="8" fillId="20" borderId="19" xfId="0" applyFont="1" applyFill="1" applyBorder="1" applyAlignment="1">
      <alignment horizontal="center" vertical="center"/>
    </xf>
    <xf numFmtId="0" fontId="15" fillId="20" borderId="19" xfId="0" applyFont="1" applyFill="1" applyBorder="1" applyAlignment="1">
      <alignment horizontal="center" vertical="center"/>
    </xf>
    <xf numFmtId="0" fontId="10" fillId="15" borderId="19" xfId="0" applyFont="1" applyFill="1" applyBorder="1" applyAlignment="1">
      <alignment horizontal="center" vertical="center"/>
    </xf>
    <xf numFmtId="0" fontId="8" fillId="16" borderId="19" xfId="0" applyFont="1" applyFill="1" applyBorder="1" applyAlignment="1">
      <alignment horizontal="center" vertical="center"/>
    </xf>
    <xf numFmtId="0" fontId="8" fillId="21" borderId="19" xfId="0" applyFont="1" applyFill="1" applyBorder="1" applyAlignment="1">
      <alignment horizontal="center" vertical="center"/>
    </xf>
    <xf numFmtId="0" fontId="14" fillId="21" borderId="19" xfId="0" applyFont="1" applyFill="1" applyBorder="1" applyAlignment="1">
      <alignment horizontal="center" vertical="center"/>
    </xf>
    <xf numFmtId="10" fontId="16" fillId="0" borderId="15" xfId="0" applyNumberFormat="1" applyFont="1" applyFill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3" fillId="15" borderId="15" xfId="0" applyFont="1" applyFill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5" borderId="15" xfId="0" applyFont="1" applyFill="1" applyBorder="1" applyAlignment="1">
      <alignment horizontal="center" vertical="center"/>
    </xf>
    <xf numFmtId="0" fontId="14" fillId="20" borderId="15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22" borderId="15" xfId="0" applyFont="1" applyFill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10" fontId="0" fillId="0" borderId="25" xfId="0" applyNumberForma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1" fontId="11" fillId="0" borderId="25" xfId="0" applyNumberFormat="1" applyFont="1" applyBorder="1" applyAlignment="1">
      <alignment horizontal="center" vertical="center"/>
    </xf>
    <xf numFmtId="0" fontId="0" fillId="17" borderId="25" xfId="0" applyFill="1" applyBorder="1"/>
    <xf numFmtId="2" fontId="0" fillId="0" borderId="26" xfId="0" applyNumberFormat="1" applyBorder="1" applyAlignment="1">
      <alignment horizontal="center" vertical="center"/>
    </xf>
    <xf numFmtId="10" fontId="0" fillId="0" borderId="26" xfId="0" applyNumberFormat="1" applyBorder="1" applyAlignment="1">
      <alignment horizontal="center" vertical="center"/>
    </xf>
    <xf numFmtId="0" fontId="0" fillId="17" borderId="26" xfId="0" applyFill="1" applyBorder="1"/>
    <xf numFmtId="0" fontId="12" fillId="11" borderId="29" xfId="0" applyFont="1" applyFill="1" applyBorder="1" applyAlignment="1">
      <alignment horizontal="center" vertical="center"/>
    </xf>
    <xf numFmtId="0" fontId="12" fillId="14" borderId="2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3" fillId="16" borderId="27" xfId="0" applyFont="1" applyFill="1" applyBorder="1" applyAlignment="1">
      <alignment horizontal="center" vertical="center"/>
    </xf>
    <xf numFmtId="0" fontId="13" fillId="14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1" fontId="10" fillId="0" borderId="2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1" fontId="16" fillId="0" borderId="15" xfId="0" applyNumberFormat="1" applyFont="1" applyFill="1" applyBorder="1" applyAlignment="1">
      <alignment vertical="center"/>
    </xf>
    <xf numFmtId="0" fontId="0" fillId="0" borderId="19" xfId="0" applyBorder="1"/>
    <xf numFmtId="0" fontId="0" fillId="0" borderId="15" xfId="0" applyBorder="1"/>
    <xf numFmtId="0" fontId="0" fillId="0" borderId="19" xfId="0" applyBorder="1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0" fontId="15" fillId="0" borderId="15" xfId="0" applyNumberFormat="1" applyFont="1" applyBorder="1" applyAlignment="1">
      <alignment horizontal="center" vertical="center"/>
    </xf>
    <xf numFmtId="10" fontId="15" fillId="0" borderId="21" xfId="0" applyNumberFormat="1" applyFon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2" fontId="15" fillId="0" borderId="15" xfId="0" applyNumberFormat="1" applyFont="1" applyBorder="1" applyAlignment="1">
      <alignment horizontal="center" vertical="center"/>
    </xf>
    <xf numFmtId="2" fontId="15" fillId="0" borderId="20" xfId="0" applyNumberFormat="1" applyFont="1" applyBorder="1" applyAlignment="1">
      <alignment horizontal="center" vertical="center"/>
    </xf>
    <xf numFmtId="2" fontId="15" fillId="0" borderId="21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5" xfId="0" applyBorder="1"/>
    <xf numFmtId="1" fontId="23" fillId="0" borderId="47" xfId="0" applyNumberFormat="1" applyFont="1" applyBorder="1" applyAlignment="1">
      <alignment vertical="center"/>
    </xf>
    <xf numFmtId="10" fontId="15" fillId="0" borderId="16" xfId="0" applyNumberFormat="1" applyFont="1" applyBorder="1" applyAlignment="1">
      <alignment horizontal="center" vertical="center"/>
    </xf>
    <xf numFmtId="1" fontId="23" fillId="0" borderId="48" xfId="0" applyNumberFormat="1" applyFont="1" applyBorder="1" applyAlignment="1">
      <alignment vertical="center"/>
    </xf>
    <xf numFmtId="1" fontId="23" fillId="0" borderId="49" xfId="0" applyNumberFormat="1" applyFont="1" applyBorder="1" applyAlignment="1">
      <alignment vertical="center"/>
    </xf>
    <xf numFmtId="0" fontId="9" fillId="21" borderId="29" xfId="0" applyFont="1" applyFill="1" applyBorder="1" applyAlignment="1">
      <alignment horizontal="center" vertical="center"/>
    </xf>
    <xf numFmtId="0" fontId="9" fillId="20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1" fontId="10" fillId="0" borderId="25" xfId="0" applyNumberFormat="1" applyFont="1" applyBorder="1" applyAlignment="1">
      <alignment horizontal="center" vertical="center"/>
    </xf>
    <xf numFmtId="1" fontId="11" fillId="0" borderId="26" xfId="0" applyNumberFormat="1" applyFont="1" applyBorder="1" applyAlignment="1">
      <alignment horizontal="center" vertical="center"/>
    </xf>
    <xf numFmtId="0" fontId="16" fillId="15" borderId="15" xfId="0" applyFont="1" applyFill="1" applyBorder="1" applyAlignment="1">
      <alignment horizontal="center" vertical="center" wrapText="1"/>
    </xf>
    <xf numFmtId="0" fontId="12" fillId="15" borderId="15" xfId="0" applyFont="1" applyFill="1" applyBorder="1" applyAlignment="1">
      <alignment horizontal="center" vertical="center"/>
    </xf>
    <xf numFmtId="0" fontId="20" fillId="15" borderId="25" xfId="0" applyFont="1" applyFill="1" applyBorder="1" applyAlignment="1">
      <alignment horizontal="center" vertical="center"/>
    </xf>
    <xf numFmtId="0" fontId="20" fillId="15" borderId="26" xfId="0" applyFont="1" applyFill="1" applyBorder="1" applyAlignment="1">
      <alignment horizontal="center" vertical="center"/>
    </xf>
    <xf numFmtId="0" fontId="14" fillId="15" borderId="15" xfId="0" applyFont="1" applyFill="1" applyBorder="1" applyAlignment="1">
      <alignment horizontal="center" vertical="center"/>
    </xf>
    <xf numFmtId="0" fontId="10" fillId="15" borderId="15" xfId="0" applyFont="1" applyFill="1" applyBorder="1" applyAlignment="1">
      <alignment horizontal="center" vertical="center"/>
    </xf>
    <xf numFmtId="0" fontId="11" fillId="15" borderId="2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1" fontId="15" fillId="0" borderId="43" xfId="0" applyNumberFormat="1" applyFont="1" applyBorder="1" applyAlignment="1">
      <alignment horizontal="center" vertical="center"/>
    </xf>
    <xf numFmtId="0" fontId="20" fillId="11" borderId="19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0" fillId="0" borderId="41" xfId="0" applyBorder="1"/>
    <xf numFmtId="0" fontId="2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1" fontId="16" fillId="0" borderId="19" xfId="0" applyNumberFormat="1" applyFont="1" applyFill="1" applyBorder="1" applyAlignment="1">
      <alignment vertical="center"/>
    </xf>
    <xf numFmtId="0" fontId="15" fillId="18" borderId="23" xfId="0" applyFont="1" applyFill="1" applyBorder="1" applyAlignment="1">
      <alignment horizontal="center" vertical="center" wrapText="1"/>
    </xf>
    <xf numFmtId="2" fontId="15" fillId="19" borderId="23" xfId="0" applyNumberFormat="1" applyFont="1" applyFill="1" applyBorder="1" applyAlignment="1">
      <alignment horizontal="center" vertical="center" wrapText="1"/>
    </xf>
    <xf numFmtId="0" fontId="22" fillId="13" borderId="23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center" vertical="center" wrapText="1"/>
    </xf>
    <xf numFmtId="0" fontId="22" fillId="13" borderId="24" xfId="0" applyFont="1" applyFill="1" applyBorder="1" applyAlignment="1">
      <alignment horizontal="center" vertical="center" wrapText="1"/>
    </xf>
    <xf numFmtId="0" fontId="15" fillId="18" borderId="22" xfId="0" applyFont="1" applyFill="1" applyBorder="1" applyAlignment="1">
      <alignment horizontal="center" vertical="center" wrapText="1"/>
    </xf>
    <xf numFmtId="10" fontId="0" fillId="0" borderId="43" xfId="0" applyNumberFormat="1" applyBorder="1" applyAlignment="1">
      <alignment vertical="center"/>
    </xf>
    <xf numFmtId="1" fontId="23" fillId="0" borderId="43" xfId="0" applyNumberFormat="1" applyFont="1" applyBorder="1" applyAlignment="1">
      <alignment vertical="center"/>
    </xf>
    <xf numFmtId="0" fontId="15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2" fontId="15" fillId="0" borderId="35" xfId="0" applyNumberFormat="1" applyFont="1" applyBorder="1" applyAlignment="1">
      <alignment vertical="center"/>
    </xf>
    <xf numFmtId="2" fontId="15" fillId="0" borderId="36" xfId="0" applyNumberFormat="1" applyFont="1" applyBorder="1" applyAlignment="1">
      <alignment vertical="center"/>
    </xf>
    <xf numFmtId="0" fontId="0" fillId="0" borderId="36" xfId="0" applyBorder="1"/>
    <xf numFmtId="2" fontId="15" fillId="0" borderId="39" xfId="0" applyNumberFormat="1" applyFont="1" applyBorder="1" applyAlignment="1">
      <alignment horizontal="center" vertical="center"/>
    </xf>
    <xf numFmtId="10" fontId="16" fillId="0" borderId="16" xfId="0" applyNumberFormat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10" fontId="15" fillId="0" borderId="15" xfId="0" applyNumberFormat="1" applyFont="1" applyBorder="1" applyAlignment="1">
      <alignment horizontal="center" vertical="center"/>
    </xf>
    <xf numFmtId="10" fontId="15" fillId="0" borderId="15" xfId="0" applyNumberFormat="1" applyFont="1" applyBorder="1" applyAlignment="1">
      <alignment horizontal="center" vertical="center"/>
    </xf>
    <xf numFmtId="2" fontId="0" fillId="0" borderId="15" xfId="0" applyNumberFormat="1" applyFill="1" applyBorder="1"/>
    <xf numFmtId="0" fontId="20" fillId="0" borderId="15" xfId="0" applyFont="1" applyBorder="1" applyAlignment="1">
      <alignment horizontal="center" vertical="center"/>
    </xf>
    <xf numFmtId="1" fontId="15" fillId="0" borderId="46" xfId="0" applyNumberFormat="1" applyFont="1" applyBorder="1" applyAlignment="1">
      <alignment horizontal="center" vertical="center"/>
    </xf>
    <xf numFmtId="1" fontId="15" fillId="0" borderId="40" xfId="0" applyNumberFormat="1" applyFont="1" applyBorder="1" applyAlignment="1">
      <alignment horizontal="center" vertical="center"/>
    </xf>
    <xf numFmtId="0" fontId="0" fillId="0" borderId="15" xfId="0" applyBorder="1"/>
    <xf numFmtId="0" fontId="0" fillId="0" borderId="15" xfId="0" applyBorder="1"/>
    <xf numFmtId="0" fontId="15" fillId="0" borderId="15" xfId="0" applyFont="1" applyBorder="1" applyAlignment="1">
      <alignment horizontal="center" vertical="center"/>
    </xf>
    <xf numFmtId="10" fontId="15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2" fontId="15" fillId="0" borderId="15" xfId="0" applyNumberFormat="1" applyFont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10" fontId="15" fillId="0" borderId="25" xfId="0" applyNumberFormat="1" applyFont="1" applyBorder="1" applyAlignment="1">
      <alignment horizontal="center" vertical="center"/>
    </xf>
    <xf numFmtId="2" fontId="15" fillId="0" borderId="25" xfId="0" applyNumberFormat="1" applyFont="1" applyBorder="1" applyAlignment="1">
      <alignment horizontal="center" vertical="center"/>
    </xf>
    <xf numFmtId="10" fontId="15" fillId="0" borderId="26" xfId="0" applyNumberFormat="1" applyFont="1" applyBorder="1" applyAlignment="1">
      <alignment horizontal="center" vertical="center"/>
    </xf>
    <xf numFmtId="10" fontId="15" fillId="0" borderId="28" xfId="0" applyNumberFormat="1" applyFont="1" applyBorder="1" applyAlignment="1">
      <alignment horizontal="center" vertical="center"/>
    </xf>
    <xf numFmtId="0" fontId="13" fillId="20" borderId="29" xfId="0" applyFont="1" applyFill="1" applyBorder="1" applyAlignment="1">
      <alignment horizontal="center" vertical="center"/>
    </xf>
    <xf numFmtId="0" fontId="13" fillId="22" borderId="25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0" fontId="16" fillId="0" borderId="30" xfId="0" applyNumberFormat="1" applyFont="1" applyBorder="1" applyAlignment="1">
      <alignment horizontal="center" vertical="center"/>
    </xf>
    <xf numFmtId="0" fontId="11" fillId="16" borderId="27" xfId="0" applyFont="1" applyFill="1" applyBorder="1" applyAlignment="1">
      <alignment horizontal="center" vertical="center"/>
    </xf>
    <xf numFmtId="0" fontId="11" fillId="20" borderId="26" xfId="0" applyFont="1" applyFill="1" applyBorder="1" applyAlignment="1">
      <alignment horizontal="center" vertical="center"/>
    </xf>
    <xf numFmtId="2" fontId="15" fillId="0" borderId="33" xfId="0" applyNumberFormat="1" applyFont="1" applyBorder="1" applyAlignment="1">
      <alignment vertical="center"/>
    </xf>
    <xf numFmtId="2" fontId="15" fillId="0" borderId="34" xfId="0" applyNumberFormat="1" applyFont="1" applyBorder="1" applyAlignment="1">
      <alignment vertical="center"/>
    </xf>
    <xf numFmtId="1" fontId="16" fillId="0" borderId="27" xfId="0" applyNumberFormat="1" applyFont="1" applyFill="1" applyBorder="1" applyAlignment="1">
      <alignment vertical="center"/>
    </xf>
    <xf numFmtId="1" fontId="16" fillId="0" borderId="26" xfId="0" applyNumberFormat="1" applyFont="1" applyFill="1" applyBorder="1" applyAlignment="1">
      <alignment vertical="center"/>
    </xf>
    <xf numFmtId="2" fontId="0" fillId="0" borderId="26" xfId="0" applyNumberFormat="1" applyFill="1" applyBorder="1"/>
    <xf numFmtId="0" fontId="0" fillId="0" borderId="19" xfId="0" applyBorder="1" applyAlignment="1">
      <alignment horizontal="center"/>
    </xf>
    <xf numFmtId="1" fontId="23" fillId="0" borderId="46" xfId="0" applyNumberFormat="1" applyFont="1" applyBorder="1" applyAlignment="1">
      <alignment horizontal="center" vertical="center"/>
    </xf>
    <xf numFmtId="1" fontId="23" fillId="0" borderId="41" xfId="0" applyNumberFormat="1" applyFont="1" applyBorder="1" applyAlignment="1">
      <alignment horizontal="center" vertical="center"/>
    </xf>
    <xf numFmtId="1" fontId="23" fillId="0" borderId="40" xfId="0" applyNumberFormat="1" applyFont="1" applyBorder="1" applyAlignment="1">
      <alignment horizontal="center" vertical="center"/>
    </xf>
    <xf numFmtId="1" fontId="23" fillId="0" borderId="43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10" fontId="15" fillId="0" borderId="15" xfId="0" applyNumberFormat="1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0" fontId="21" fillId="0" borderId="37" xfId="0" applyNumberFormat="1" applyFont="1" applyBorder="1" applyAlignment="1">
      <alignment horizontal="center" vertical="center"/>
    </xf>
    <xf numFmtId="10" fontId="21" fillId="0" borderId="36" xfId="0" applyNumberFormat="1" applyFont="1" applyBorder="1" applyAlignment="1">
      <alignment horizontal="center" vertical="center"/>
    </xf>
    <xf numFmtId="10" fontId="21" fillId="0" borderId="39" xfId="0" applyNumberFormat="1" applyFont="1" applyBorder="1" applyAlignment="1">
      <alignment horizontal="center" vertical="center"/>
    </xf>
    <xf numFmtId="10" fontId="6" fillId="0" borderId="50" xfId="0" applyNumberFormat="1" applyFont="1" applyBorder="1" applyAlignment="1">
      <alignment horizontal="center" vertical="center"/>
    </xf>
    <xf numFmtId="10" fontId="6" fillId="0" borderId="41" xfId="0" applyNumberFormat="1" applyFont="1" applyBorder="1" applyAlignment="1">
      <alignment horizontal="center" vertical="center"/>
    </xf>
    <xf numFmtId="10" fontId="6" fillId="0" borderId="43" xfId="0" applyNumberFormat="1" applyFont="1" applyBorder="1" applyAlignment="1">
      <alignment horizontal="center" vertical="center"/>
    </xf>
    <xf numFmtId="1" fontId="23" fillId="0" borderId="18" xfId="0" applyNumberFormat="1" applyFont="1" applyBorder="1" applyAlignment="1">
      <alignment horizontal="center" vertical="center"/>
    </xf>
    <xf numFmtId="1" fontId="23" fillId="0" borderId="15" xfId="0" applyNumberFormat="1" applyFont="1" applyBorder="1" applyAlignment="1">
      <alignment horizontal="center" vertical="center"/>
    </xf>
    <xf numFmtId="1" fontId="23" fillId="0" borderId="21" xfId="0" applyNumberFormat="1" applyFont="1" applyBorder="1" applyAlignment="1">
      <alignment horizontal="center" vertical="center"/>
    </xf>
    <xf numFmtId="10" fontId="15" fillId="0" borderId="51" xfId="0" applyNumberFormat="1" applyFont="1" applyBorder="1" applyAlignment="1">
      <alignment horizontal="center" vertical="center" wrapText="1"/>
    </xf>
    <xf numFmtId="10" fontId="15" fillId="0" borderId="44" xfId="0" applyNumberFormat="1" applyFont="1" applyBorder="1" applyAlignment="1">
      <alignment horizontal="center" vertical="center" wrapText="1"/>
    </xf>
    <xf numFmtId="10" fontId="15" fillId="0" borderId="45" xfId="0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2" fontId="15" fillId="0" borderId="29" xfId="0" applyNumberFormat="1" applyFont="1" applyBorder="1" applyAlignment="1">
      <alignment horizontal="center" vertical="center"/>
    </xf>
    <xf numFmtId="2" fontId="15" fillId="0" borderId="25" xfId="0" applyNumberFormat="1" applyFont="1" applyBorder="1" applyAlignment="1">
      <alignment horizontal="center" vertical="center"/>
    </xf>
    <xf numFmtId="2" fontId="15" fillId="0" borderId="31" xfId="0" applyNumberFormat="1" applyFont="1" applyBorder="1" applyAlignment="1">
      <alignment horizontal="center" vertical="center"/>
    </xf>
    <xf numFmtId="2" fontId="15" fillId="0" borderId="32" xfId="0" applyNumberFormat="1" applyFont="1" applyBorder="1" applyAlignment="1">
      <alignment horizontal="center" vertical="center"/>
    </xf>
    <xf numFmtId="1" fontId="16" fillId="0" borderId="29" xfId="0" applyNumberFormat="1" applyFont="1" applyFill="1" applyBorder="1" applyAlignment="1">
      <alignment horizontal="center" vertical="center"/>
    </xf>
    <xf numFmtId="1" fontId="16" fillId="0" borderId="25" xfId="0" applyNumberFormat="1" applyFont="1" applyFill="1" applyBorder="1" applyAlignment="1">
      <alignment horizontal="center" vertical="center"/>
    </xf>
    <xf numFmtId="2" fontId="16" fillId="0" borderId="25" xfId="0" applyNumberFormat="1" applyFont="1" applyFill="1" applyBorder="1" applyAlignment="1">
      <alignment horizontal="center" vertical="center"/>
    </xf>
    <xf numFmtId="2" fontId="15" fillId="0" borderId="19" xfId="0" applyNumberFormat="1" applyFont="1" applyBorder="1" applyAlignment="1">
      <alignment horizontal="center" vertical="center"/>
    </xf>
    <xf numFmtId="2" fontId="15" fillId="0" borderId="15" xfId="0" applyNumberFormat="1" applyFont="1" applyBorder="1" applyAlignment="1">
      <alignment horizontal="center" vertical="center"/>
    </xf>
    <xf numFmtId="2" fontId="15" fillId="0" borderId="35" xfId="0" applyNumberFormat="1" applyFont="1" applyBorder="1" applyAlignment="1">
      <alignment horizontal="center" vertical="center"/>
    </xf>
    <xf numFmtId="2" fontId="15" fillId="0" borderId="36" xfId="0" applyNumberFormat="1" applyFont="1" applyBorder="1" applyAlignment="1">
      <alignment horizontal="center" vertical="center"/>
    </xf>
    <xf numFmtId="1" fontId="16" fillId="0" borderId="19" xfId="0" applyNumberFormat="1" applyFont="1" applyFill="1" applyBorder="1" applyAlignment="1">
      <alignment horizontal="center" vertical="center"/>
    </xf>
    <xf numFmtId="1" fontId="16" fillId="0" borderId="15" xfId="0" applyNumberFormat="1" applyFont="1" applyFill="1" applyBorder="1" applyAlignment="1">
      <alignment horizontal="center" vertical="center"/>
    </xf>
    <xf numFmtId="2" fontId="16" fillId="0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0" fontId="15" fillId="0" borderId="25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15" fillId="0" borderId="27" xfId="0" applyNumberFormat="1" applyFont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9" fontId="23" fillId="0" borderId="31" xfId="0" applyNumberFormat="1" applyFont="1" applyBorder="1" applyAlignment="1">
      <alignment horizontal="center" vertical="center"/>
    </xf>
    <xf numFmtId="9" fontId="23" fillId="0" borderId="35" xfId="0" applyNumberFormat="1" applyFont="1" applyBorder="1" applyAlignment="1">
      <alignment horizontal="center" vertical="center"/>
    </xf>
    <xf numFmtId="9" fontId="23" fillId="0" borderId="33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wrapText="1"/>
    </xf>
    <xf numFmtId="0" fontId="16" fillId="0" borderId="9" xfId="0" applyFont="1" applyBorder="1"/>
    <xf numFmtId="0" fontId="17" fillId="0" borderId="12" xfId="0" applyFont="1" applyBorder="1" applyAlignment="1">
      <alignment horizontal="center" wrapText="1"/>
    </xf>
    <xf numFmtId="0" fontId="0" fillId="10" borderId="20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52" xfId="0" applyFill="1" applyBorder="1" applyAlignment="1">
      <alignment horizontal="center"/>
    </xf>
    <xf numFmtId="0" fontId="22" fillId="10" borderId="22" xfId="0" applyFont="1" applyFill="1" applyBorder="1" applyAlignment="1">
      <alignment horizontal="center" vertical="center" wrapText="1"/>
    </xf>
    <xf numFmtId="0" fontId="22" fillId="10" borderId="23" xfId="0" applyFont="1" applyFill="1" applyBorder="1" applyAlignment="1">
      <alignment horizontal="center" vertical="center" wrapText="1"/>
    </xf>
    <xf numFmtId="0" fontId="15" fillId="10" borderId="23" xfId="0" applyFont="1" applyFill="1" applyBorder="1" applyAlignment="1">
      <alignment horizontal="center" vertical="center" wrapText="1"/>
    </xf>
    <xf numFmtId="2" fontId="15" fillId="23" borderId="23" xfId="0" applyNumberFormat="1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</cellXfs>
  <cellStyles count="1">
    <cellStyle name="Обычный" xfId="0" builtinId="0"/>
  </cellStyles>
  <dxfs count="2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486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048526"/>
  <sheetViews>
    <sheetView tabSelected="1" zoomScale="70" zoomScaleNormal="70" workbookViewId="0">
      <selection activeCell="J3" sqref="J3:J24"/>
    </sheetView>
  </sheetViews>
  <sheetFormatPr defaultColWidth="14.44140625" defaultRowHeight="14.4" x14ac:dyDescent="0.3"/>
  <cols>
    <col min="1" max="1" width="12.6640625" style="95" customWidth="1"/>
    <col min="2" max="3" width="8.44140625" style="89" customWidth="1"/>
    <col min="4" max="4" width="14.5546875" style="89" customWidth="1"/>
    <col min="5" max="5" width="11.5546875" style="89" customWidth="1"/>
    <col min="6" max="6" width="12" style="89" customWidth="1"/>
    <col min="7" max="7" width="7.109375" style="89" customWidth="1"/>
    <col min="8" max="8" width="10.44140625" style="89" customWidth="1"/>
    <col min="9" max="9" width="8.5546875" style="89" customWidth="1"/>
    <col min="10" max="10" width="9.33203125" style="89" customWidth="1"/>
    <col min="11" max="11" width="10.33203125" style="95" customWidth="1"/>
    <col min="12" max="12" width="10.33203125" style="175" customWidth="1"/>
    <col min="13" max="13" width="10.33203125" style="176" hidden="1" customWidth="1"/>
    <col min="14" max="14" width="14.109375" style="176" customWidth="1"/>
    <col min="15" max="15" width="9" style="176" customWidth="1"/>
    <col min="16" max="16" width="3.6640625" style="176" customWidth="1"/>
    <col min="17" max="18" width="11.44140625" style="176" customWidth="1"/>
    <col min="19" max="21" width="10.44140625" style="176" customWidth="1"/>
    <col min="22" max="24" width="9.5546875" style="176" customWidth="1"/>
    <col min="25" max="27" width="10.5546875" style="176" customWidth="1"/>
    <col min="28" max="28" width="11.109375" style="246" customWidth="1"/>
    <col min="29" max="32" width="10.5546875" style="176" customWidth="1"/>
    <col min="33" max="34" width="10.5546875" style="178" customWidth="1"/>
    <col min="35" max="35" width="6.5546875" style="177" customWidth="1"/>
    <col min="36" max="36" width="6.33203125" style="178" customWidth="1"/>
    <col min="37" max="37" width="6.6640625" style="178" customWidth="1"/>
    <col min="38" max="38" width="8.33203125" style="178" customWidth="1"/>
    <col min="39" max="39" width="7.5546875" style="178" customWidth="1"/>
    <col min="40" max="40" width="8.109375" style="178" customWidth="1"/>
    <col min="41" max="41" width="12.44140625" style="178" customWidth="1"/>
    <col min="42" max="42" width="7.5546875" style="178" customWidth="1"/>
    <col min="43" max="43" width="9.88671875" style="178" customWidth="1"/>
    <col min="44" max="45" width="11.88671875" style="178" customWidth="1"/>
    <col min="46" max="46" width="10.88671875" style="177" customWidth="1"/>
    <col min="47" max="47" width="11.109375" style="178" customWidth="1"/>
    <col min="48" max="48" width="12.109375" style="178" customWidth="1"/>
    <col min="49" max="49" width="11.109375" style="178" customWidth="1"/>
    <col min="50" max="51" width="8" style="178" customWidth="1"/>
    <col min="52" max="53" width="9.88671875" style="178" customWidth="1"/>
    <col min="54" max="54" width="12.109375" style="178" customWidth="1"/>
    <col min="55" max="55" width="14.6640625" style="178" customWidth="1"/>
    <col min="56" max="56" width="14.6640625" style="94" customWidth="1"/>
    <col min="57" max="77" width="14.44140625" style="111"/>
    <col min="78" max="16384" width="14.44140625" style="89"/>
  </cols>
  <sheetData>
    <row r="1" spans="1:77" s="247" customFormat="1" ht="15" thickBot="1" x14ac:dyDescent="0.35">
      <c r="A1" s="177"/>
      <c r="K1" s="177"/>
      <c r="L1" s="322" t="s">
        <v>178</v>
      </c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4"/>
      <c r="AI1" s="322" t="s">
        <v>176</v>
      </c>
      <c r="AJ1" s="323"/>
      <c r="AK1" s="323"/>
      <c r="AL1" s="323"/>
      <c r="AM1" s="323"/>
      <c r="AN1" s="323"/>
      <c r="AO1" s="323"/>
      <c r="AP1" s="323"/>
      <c r="AQ1" s="323"/>
      <c r="AR1" s="323"/>
      <c r="AS1" s="324"/>
      <c r="AT1" s="322" t="s">
        <v>177</v>
      </c>
      <c r="AU1" s="323"/>
      <c r="AV1" s="323"/>
      <c r="AW1" s="323"/>
      <c r="AX1" s="323"/>
      <c r="AY1" s="323"/>
      <c r="AZ1" s="323"/>
      <c r="BA1" s="323"/>
      <c r="BB1" s="323"/>
      <c r="BC1" s="323"/>
      <c r="BD1" s="324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</row>
    <row r="2" spans="1:77" s="124" customFormat="1" ht="99.75" customHeight="1" thickBot="1" x14ac:dyDescent="0.35">
      <c r="A2" s="97" t="s">
        <v>76</v>
      </c>
      <c r="B2" s="98" t="s">
        <v>99</v>
      </c>
      <c r="C2" s="98" t="s">
        <v>98</v>
      </c>
      <c r="D2" s="98" t="s">
        <v>179</v>
      </c>
      <c r="E2" s="98" t="s">
        <v>103</v>
      </c>
      <c r="F2" s="98" t="s">
        <v>146</v>
      </c>
      <c r="G2" s="99" t="s">
        <v>75</v>
      </c>
      <c r="H2" s="99" t="s">
        <v>147</v>
      </c>
      <c r="I2" s="99" t="s">
        <v>66</v>
      </c>
      <c r="J2" s="101" t="s">
        <v>74</v>
      </c>
      <c r="K2" s="100" t="s">
        <v>83</v>
      </c>
      <c r="L2" s="100" t="s">
        <v>67</v>
      </c>
      <c r="M2" s="101"/>
      <c r="N2" s="101" t="s">
        <v>72</v>
      </c>
      <c r="O2" s="101" t="s">
        <v>164</v>
      </c>
      <c r="P2" s="101" t="s">
        <v>70</v>
      </c>
      <c r="Q2" s="101" t="s">
        <v>100</v>
      </c>
      <c r="R2" s="101" t="s">
        <v>101</v>
      </c>
      <c r="S2" s="101" t="s">
        <v>105</v>
      </c>
      <c r="T2" s="101" t="s">
        <v>119</v>
      </c>
      <c r="U2" s="101" t="s">
        <v>120</v>
      </c>
      <c r="V2" s="101" t="s">
        <v>68</v>
      </c>
      <c r="W2" s="101" t="s">
        <v>69</v>
      </c>
      <c r="X2" s="101" t="s">
        <v>71</v>
      </c>
      <c r="Y2" s="101" t="s">
        <v>77</v>
      </c>
      <c r="Z2" s="101" t="s">
        <v>131</v>
      </c>
      <c r="AA2" s="101" t="s">
        <v>132</v>
      </c>
      <c r="AB2" s="101" t="s">
        <v>175</v>
      </c>
      <c r="AC2" s="101" t="s">
        <v>108</v>
      </c>
      <c r="AD2" s="101" t="s">
        <v>130</v>
      </c>
      <c r="AE2" s="101" t="s">
        <v>128</v>
      </c>
      <c r="AF2" s="101" t="s">
        <v>162</v>
      </c>
      <c r="AG2" s="101" t="s">
        <v>163</v>
      </c>
      <c r="AH2" s="101" t="s">
        <v>114</v>
      </c>
      <c r="AI2" s="228" t="s">
        <v>79</v>
      </c>
      <c r="AJ2" s="223" t="s">
        <v>80</v>
      </c>
      <c r="AK2" s="223" t="s">
        <v>78</v>
      </c>
      <c r="AL2" s="327" t="s">
        <v>153</v>
      </c>
      <c r="AM2" s="327" t="s">
        <v>154</v>
      </c>
      <c r="AN2" s="224" t="s">
        <v>108</v>
      </c>
      <c r="AO2" s="224" t="s">
        <v>109</v>
      </c>
      <c r="AP2" s="328" t="s">
        <v>105</v>
      </c>
      <c r="AQ2" s="224" t="s">
        <v>106</v>
      </c>
      <c r="AR2" s="224" t="s">
        <v>167</v>
      </c>
      <c r="AS2" s="224" t="s">
        <v>171</v>
      </c>
      <c r="AT2" s="325" t="s">
        <v>104</v>
      </c>
      <c r="AU2" s="326" t="s">
        <v>104</v>
      </c>
      <c r="AV2" s="326" t="s">
        <v>159</v>
      </c>
      <c r="AW2" s="326" t="s">
        <v>160</v>
      </c>
      <c r="AX2" s="226" t="s">
        <v>155</v>
      </c>
      <c r="AY2" s="226" t="s">
        <v>156</v>
      </c>
      <c r="AZ2" s="226" t="s">
        <v>157</v>
      </c>
      <c r="BA2" s="226" t="s">
        <v>158</v>
      </c>
      <c r="BB2" s="225" t="s">
        <v>166</v>
      </c>
      <c r="BC2" s="225" t="s">
        <v>168</v>
      </c>
      <c r="BD2" s="227" t="s">
        <v>172</v>
      </c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23"/>
      <c r="BQ2" s="123"/>
      <c r="BR2" s="123"/>
      <c r="BS2" s="123"/>
      <c r="BT2" s="123"/>
      <c r="BU2" s="123"/>
      <c r="BV2" s="123"/>
      <c r="BW2" s="123"/>
      <c r="BX2" s="123"/>
      <c r="BY2" s="123"/>
    </row>
    <row r="3" spans="1:77" s="104" customFormat="1" ht="18.75" customHeight="1" x14ac:dyDescent="0.3">
      <c r="A3" s="277" t="s">
        <v>173</v>
      </c>
      <c r="B3" s="281">
        <v>6</v>
      </c>
      <c r="C3" s="281">
        <v>2</v>
      </c>
      <c r="D3" s="284">
        <v>65.260000000000005</v>
      </c>
      <c r="E3" s="287">
        <f>(F3+F13)/2</f>
        <v>4.4292150000000001</v>
      </c>
      <c r="F3" s="316">
        <f>(O3+O4+O5+O6+O7+O8+O9+O10+O11+O12)*0.9</f>
        <v>4.6822499999999998</v>
      </c>
      <c r="G3" s="290"/>
      <c r="H3" s="197">
        <f>I3*C3</f>
        <v>30000</v>
      </c>
      <c r="I3" s="273">
        <v>15000</v>
      </c>
      <c r="J3" s="293"/>
      <c r="K3" s="329">
        <v>1</v>
      </c>
      <c r="L3" s="259" t="s">
        <v>84</v>
      </c>
      <c r="M3" s="260"/>
      <c r="N3" s="261" t="s">
        <v>121</v>
      </c>
      <c r="O3" s="102">
        <v>0.52</v>
      </c>
      <c r="P3" s="193">
        <v>0</v>
      </c>
      <c r="Q3" s="262" t="s">
        <v>15</v>
      </c>
      <c r="R3" s="262" t="s">
        <v>15</v>
      </c>
      <c r="S3" s="193">
        <v>2700</v>
      </c>
      <c r="T3" s="296">
        <v>0.1</v>
      </c>
      <c r="U3" s="296"/>
      <c r="V3" s="262" t="s">
        <v>15</v>
      </c>
      <c r="W3" s="262" t="s">
        <v>15</v>
      </c>
      <c r="X3" s="156">
        <v>3.9</v>
      </c>
      <c r="Y3" s="157">
        <v>0.93600000000000005</v>
      </c>
      <c r="Z3" s="158" t="s">
        <v>139</v>
      </c>
      <c r="AA3" s="158" t="s">
        <v>139</v>
      </c>
      <c r="AB3" s="158"/>
      <c r="AC3" s="193">
        <v>1.06</v>
      </c>
      <c r="AD3" s="193">
        <v>4.2699999999999996</v>
      </c>
      <c r="AE3" s="159">
        <f>468/4.5/12/4</f>
        <v>2.1666666666666665</v>
      </c>
      <c r="AF3" s="262" t="s">
        <v>82</v>
      </c>
      <c r="AG3" s="263" t="s">
        <v>82</v>
      </c>
      <c r="AH3" s="262" t="s">
        <v>82</v>
      </c>
      <c r="AI3" s="297">
        <v>5.55</v>
      </c>
      <c r="AJ3" s="298"/>
      <c r="AK3" s="106">
        <v>1111</v>
      </c>
      <c r="AL3" s="299">
        <f>T3*AI3</f>
        <v>0.55500000000000005</v>
      </c>
      <c r="AM3" s="300"/>
      <c r="AN3" s="256">
        <f t="shared" ref="AN3:AN8" si="0">AC3*AI3</f>
        <v>5.883</v>
      </c>
      <c r="AO3" s="256">
        <f t="shared" ref="AO3:AO8" si="1">AD3*AI3</f>
        <v>23.698499999999996</v>
      </c>
      <c r="AP3" s="244">
        <f t="shared" ref="AP3:AP8" si="2">S3*AI3</f>
        <v>14985</v>
      </c>
      <c r="AQ3" s="255">
        <f>AP3/I3</f>
        <v>0.999</v>
      </c>
      <c r="AR3" s="255"/>
      <c r="AS3" s="255" t="s">
        <v>82</v>
      </c>
      <c r="AT3" s="301">
        <f>H3/(AL3*100)</f>
        <v>540.54054054054052</v>
      </c>
      <c r="AU3" s="302"/>
      <c r="AV3" s="302">
        <f>AP3/(AL3*100)</f>
        <v>269.99999999999994</v>
      </c>
      <c r="AW3" s="302"/>
      <c r="AX3" s="303">
        <f>H3/AT3/100</f>
        <v>0.55500000000000005</v>
      </c>
      <c r="AY3" s="303"/>
      <c r="AZ3" s="312">
        <f>AT3/H3</f>
        <v>1.8018018018018018E-2</v>
      </c>
      <c r="BA3" s="312"/>
      <c r="BB3" s="102"/>
      <c r="BC3" s="102" t="s">
        <v>82</v>
      </c>
      <c r="BD3" s="264" t="s">
        <v>82</v>
      </c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</row>
    <row r="4" spans="1:77" s="247" customFormat="1" ht="15.75" customHeight="1" x14ac:dyDescent="0.3">
      <c r="A4" s="278"/>
      <c r="B4" s="282"/>
      <c r="C4" s="282"/>
      <c r="D4" s="285"/>
      <c r="E4" s="288"/>
      <c r="F4" s="317"/>
      <c r="G4" s="291"/>
      <c r="H4" s="195">
        <f>H3</f>
        <v>30000</v>
      </c>
      <c r="I4" s="274"/>
      <c r="J4" s="294"/>
      <c r="K4" s="330">
        <v>2</v>
      </c>
      <c r="L4" s="140" t="s">
        <v>91</v>
      </c>
      <c r="M4" s="129"/>
      <c r="N4" s="206" t="s">
        <v>102</v>
      </c>
      <c r="O4" s="249">
        <v>0.63</v>
      </c>
      <c r="P4" s="248">
        <v>0</v>
      </c>
      <c r="Q4" s="248" t="s">
        <v>15</v>
      </c>
      <c r="R4" s="248" t="s">
        <v>15</v>
      </c>
      <c r="S4" s="248">
        <v>6000</v>
      </c>
      <c r="T4" s="282">
        <v>0.1</v>
      </c>
      <c r="U4" s="282"/>
      <c r="V4" s="249" t="s">
        <v>15</v>
      </c>
      <c r="W4" s="249" t="s">
        <v>15</v>
      </c>
      <c r="X4" s="253">
        <v>2.2999999999999998</v>
      </c>
      <c r="Y4" s="249">
        <v>0.83</v>
      </c>
      <c r="Z4" s="93" t="s">
        <v>133</v>
      </c>
      <c r="AA4" s="93" t="s">
        <v>133</v>
      </c>
      <c r="AB4" s="93"/>
      <c r="AC4" s="93" t="s">
        <v>110</v>
      </c>
      <c r="AD4" s="93" t="s">
        <v>111</v>
      </c>
      <c r="AE4" s="90">
        <f>627/4.5/12/4</f>
        <v>2.9027777777777781</v>
      </c>
      <c r="AF4" s="93" t="s">
        <v>82</v>
      </c>
      <c r="AG4" s="93"/>
      <c r="AH4" s="93" t="s">
        <v>82</v>
      </c>
      <c r="AI4" s="304">
        <v>2.5</v>
      </c>
      <c r="AJ4" s="305"/>
      <c r="AK4" s="90">
        <v>1111</v>
      </c>
      <c r="AL4" s="306">
        <f>T4*AI4</f>
        <v>0.25</v>
      </c>
      <c r="AM4" s="307"/>
      <c r="AN4" s="253">
        <f t="shared" si="0"/>
        <v>14.450000000000001</v>
      </c>
      <c r="AO4" s="253">
        <f t="shared" si="1"/>
        <v>42.85</v>
      </c>
      <c r="AP4" s="113">
        <f t="shared" si="2"/>
        <v>15000</v>
      </c>
      <c r="AQ4" s="249">
        <f>AP4/I3</f>
        <v>1</v>
      </c>
      <c r="AR4" s="249"/>
      <c r="AS4" s="249" t="s">
        <v>82</v>
      </c>
      <c r="AT4" s="308">
        <f t="shared" ref="AT4:AT19" si="3">H4/(AL4*100)</f>
        <v>1200</v>
      </c>
      <c r="AU4" s="309"/>
      <c r="AV4" s="309">
        <f>AP4/(AL4*100)</f>
        <v>600</v>
      </c>
      <c r="AW4" s="309"/>
      <c r="AX4" s="310">
        <f>H4/AT4/100</f>
        <v>0.25</v>
      </c>
      <c r="AY4" s="310"/>
      <c r="AZ4" s="280">
        <f>AT4/H4</f>
        <v>0.04</v>
      </c>
      <c r="BA4" s="280"/>
      <c r="BB4" s="96"/>
      <c r="BC4" s="96" t="s">
        <v>82</v>
      </c>
      <c r="BD4" s="238" t="s">
        <v>82</v>
      </c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  <c r="BT4" s="111"/>
      <c r="BU4" s="111"/>
      <c r="BV4" s="111"/>
      <c r="BW4" s="111"/>
      <c r="BX4" s="111"/>
      <c r="BY4" s="111"/>
    </row>
    <row r="5" spans="1:77" s="247" customFormat="1" ht="15.75" customHeight="1" x14ac:dyDescent="0.3">
      <c r="A5" s="278"/>
      <c r="B5" s="282"/>
      <c r="C5" s="282"/>
      <c r="D5" s="285"/>
      <c r="E5" s="288"/>
      <c r="F5" s="317"/>
      <c r="G5" s="291"/>
      <c r="H5" s="195">
        <f t="shared" ref="H5:H19" si="4">H4</f>
        <v>30000</v>
      </c>
      <c r="I5" s="274"/>
      <c r="J5" s="294"/>
      <c r="K5" s="329">
        <v>3</v>
      </c>
      <c r="L5" s="139" t="s">
        <v>115</v>
      </c>
      <c r="M5" s="132"/>
      <c r="N5" s="133" t="s">
        <v>149</v>
      </c>
      <c r="O5" s="145">
        <v>0.40799999999999997</v>
      </c>
      <c r="P5" s="250">
        <v>0</v>
      </c>
      <c r="Q5" s="147" t="s">
        <v>15</v>
      </c>
      <c r="R5" s="147" t="s">
        <v>15</v>
      </c>
      <c r="S5" s="130">
        <v>2315</v>
      </c>
      <c r="T5" s="311">
        <v>0.1</v>
      </c>
      <c r="U5" s="311"/>
      <c r="V5" s="147" t="s">
        <v>15</v>
      </c>
      <c r="W5" s="147" t="s">
        <v>15</v>
      </c>
      <c r="X5" s="251">
        <f>95/24</f>
        <v>3.9583333333333335</v>
      </c>
      <c r="Y5" s="107">
        <v>0.9</v>
      </c>
      <c r="Z5" s="146" t="s">
        <v>135</v>
      </c>
      <c r="AA5" s="146" t="s">
        <v>135</v>
      </c>
      <c r="AB5" s="146"/>
      <c r="AC5" s="250">
        <v>1.29</v>
      </c>
      <c r="AD5" s="250">
        <v>7.23</v>
      </c>
      <c r="AE5" s="90">
        <f>321/4.5/12/4</f>
        <v>1.4861111111111109</v>
      </c>
      <c r="AF5" s="147" t="s">
        <v>82</v>
      </c>
      <c r="AG5" s="147"/>
      <c r="AH5" s="147" t="s">
        <v>82</v>
      </c>
      <c r="AI5" s="304">
        <v>6.45</v>
      </c>
      <c r="AJ5" s="305"/>
      <c r="AK5" s="90">
        <v>1111</v>
      </c>
      <c r="AL5" s="306">
        <f>T5*AI5</f>
        <v>0.64500000000000002</v>
      </c>
      <c r="AM5" s="307"/>
      <c r="AN5" s="253">
        <f t="shared" si="0"/>
        <v>8.3205000000000009</v>
      </c>
      <c r="AO5" s="253">
        <f t="shared" si="1"/>
        <v>46.633500000000005</v>
      </c>
      <c r="AP5" s="113">
        <f t="shared" si="2"/>
        <v>14931.75</v>
      </c>
      <c r="AQ5" s="249">
        <f>AP5/I3</f>
        <v>0.99544999999999995</v>
      </c>
      <c r="AR5" s="249"/>
      <c r="AS5" s="249" t="s">
        <v>82</v>
      </c>
      <c r="AT5" s="308">
        <f t="shared" si="3"/>
        <v>465.11627906976742</v>
      </c>
      <c r="AU5" s="309"/>
      <c r="AV5" s="309">
        <f>AP5/(AL5*100)</f>
        <v>231.5</v>
      </c>
      <c r="AW5" s="309"/>
      <c r="AX5" s="310">
        <f>H5/AT5/100</f>
        <v>0.64500000000000002</v>
      </c>
      <c r="AY5" s="310"/>
      <c r="AZ5" s="280">
        <f>AT5/H5</f>
        <v>1.5503875968992248E-2</v>
      </c>
      <c r="BA5" s="280"/>
      <c r="BB5" s="249"/>
      <c r="BC5" s="249" t="s">
        <v>82</v>
      </c>
      <c r="BD5" s="196" t="s">
        <v>82</v>
      </c>
      <c r="BE5" s="111"/>
      <c r="BF5" s="111"/>
      <c r="BG5" s="111"/>
      <c r="BH5" s="111"/>
      <c r="BI5" s="111"/>
      <c r="BJ5" s="111"/>
      <c r="BK5" s="111"/>
      <c r="BL5" s="111"/>
      <c r="BM5" s="111"/>
      <c r="BN5" s="111"/>
      <c r="BO5" s="111"/>
      <c r="BP5" s="111"/>
      <c r="BQ5" s="111"/>
      <c r="BR5" s="111"/>
      <c r="BS5" s="111"/>
      <c r="BT5" s="111"/>
      <c r="BU5" s="111"/>
      <c r="BV5" s="111"/>
      <c r="BW5" s="111"/>
      <c r="BX5" s="111"/>
      <c r="BY5" s="111"/>
    </row>
    <row r="6" spans="1:77" s="247" customFormat="1" ht="15.75" customHeight="1" x14ac:dyDescent="0.3">
      <c r="A6" s="278"/>
      <c r="B6" s="282"/>
      <c r="C6" s="282"/>
      <c r="D6" s="285"/>
      <c r="E6" s="288"/>
      <c r="F6" s="317"/>
      <c r="G6" s="291"/>
      <c r="H6" s="195">
        <f t="shared" si="4"/>
        <v>30000</v>
      </c>
      <c r="I6" s="274"/>
      <c r="J6" s="294"/>
      <c r="K6" s="330">
        <v>4</v>
      </c>
      <c r="L6" s="136" t="s">
        <v>92</v>
      </c>
      <c r="M6" s="131"/>
      <c r="N6" s="207" t="s">
        <v>118</v>
      </c>
      <c r="O6" s="96">
        <v>0.52800000000000002</v>
      </c>
      <c r="P6" s="250">
        <v>0</v>
      </c>
      <c r="Q6" s="120" t="s">
        <v>15</v>
      </c>
      <c r="R6" s="120" t="s">
        <v>15</v>
      </c>
      <c r="S6" s="250">
        <v>10000</v>
      </c>
      <c r="T6" s="250">
        <v>0.23</v>
      </c>
      <c r="U6" s="250">
        <v>0.1</v>
      </c>
      <c r="V6" s="120" t="s">
        <v>15</v>
      </c>
      <c r="W6" s="120" t="s">
        <v>15</v>
      </c>
      <c r="X6" s="251">
        <v>7.16</v>
      </c>
      <c r="Y6" s="107">
        <v>0.75970000000000004</v>
      </c>
      <c r="Z6" s="128" t="s">
        <v>138</v>
      </c>
      <c r="AA6" s="128" t="s">
        <v>134</v>
      </c>
      <c r="AB6" s="128"/>
      <c r="AC6" s="250">
        <v>8.68</v>
      </c>
      <c r="AD6" s="250">
        <v>25.82</v>
      </c>
      <c r="AE6" s="126">
        <f>611/4.5/12/4</f>
        <v>2.8287037037037037</v>
      </c>
      <c r="AF6" s="120" t="s">
        <v>82</v>
      </c>
      <c r="AG6" s="120"/>
      <c r="AH6" s="120" t="s">
        <v>82</v>
      </c>
      <c r="AI6" s="304">
        <v>1.5</v>
      </c>
      <c r="AJ6" s="305"/>
      <c r="AK6" s="90">
        <v>1111</v>
      </c>
      <c r="AL6" s="234">
        <f>AI6*T6</f>
        <v>0.34500000000000003</v>
      </c>
      <c r="AM6" s="235">
        <f>AI6*U6</f>
        <v>0.15000000000000002</v>
      </c>
      <c r="AN6" s="253">
        <f t="shared" si="0"/>
        <v>13.02</v>
      </c>
      <c r="AO6" s="253">
        <f t="shared" si="1"/>
        <v>38.730000000000004</v>
      </c>
      <c r="AP6" s="113">
        <f t="shared" si="2"/>
        <v>15000</v>
      </c>
      <c r="AQ6" s="249">
        <f>AP6/I3</f>
        <v>1</v>
      </c>
      <c r="AR6" s="249"/>
      <c r="AS6" s="249" t="s">
        <v>82</v>
      </c>
      <c r="AT6" s="222">
        <f t="shared" si="3"/>
        <v>869.56521739130437</v>
      </c>
      <c r="AU6" s="174">
        <f>H6/(AM6*100)</f>
        <v>1999.9999999999998</v>
      </c>
      <c r="AV6" s="174">
        <f>AP6/(AX6*100)</f>
        <v>434.78260869565219</v>
      </c>
      <c r="AW6" s="174">
        <f>AP6/(AY6*100)</f>
        <v>999.99999999999989</v>
      </c>
      <c r="AX6" s="242">
        <f>H6/AT6/100</f>
        <v>0.34499999999999997</v>
      </c>
      <c r="AY6" s="242">
        <f>H6/AU6/100</f>
        <v>0.15000000000000002</v>
      </c>
      <c r="AZ6" s="249">
        <f>AT6/H3</f>
        <v>2.8985507246376812E-2</v>
      </c>
      <c r="BA6" s="249">
        <f>AU6/H3</f>
        <v>6.6666666666666666E-2</v>
      </c>
      <c r="BB6" s="96"/>
      <c r="BC6" s="249" t="s">
        <v>82</v>
      </c>
      <c r="BD6" s="196" t="s">
        <v>82</v>
      </c>
      <c r="BE6" s="111"/>
      <c r="BF6" s="111"/>
      <c r="BG6" s="111"/>
      <c r="BH6" s="111"/>
      <c r="BI6" s="111"/>
      <c r="BJ6" s="111"/>
      <c r="BK6" s="111"/>
      <c r="BL6" s="111"/>
      <c r="BM6" s="111"/>
      <c r="BN6" s="111"/>
      <c r="BO6" s="111"/>
      <c r="BP6" s="111"/>
      <c r="BQ6" s="111"/>
      <c r="BR6" s="111"/>
      <c r="BS6" s="111"/>
      <c r="BT6" s="111"/>
      <c r="BU6" s="111"/>
      <c r="BV6" s="111"/>
      <c r="BW6" s="111"/>
      <c r="BX6" s="111"/>
      <c r="BY6" s="111"/>
    </row>
    <row r="7" spans="1:77" s="247" customFormat="1" ht="15.75" customHeight="1" x14ac:dyDescent="0.3">
      <c r="A7" s="278"/>
      <c r="B7" s="282"/>
      <c r="C7" s="282"/>
      <c r="D7" s="285"/>
      <c r="E7" s="288"/>
      <c r="F7" s="317"/>
      <c r="G7" s="291"/>
      <c r="H7" s="195">
        <f t="shared" si="4"/>
        <v>30000</v>
      </c>
      <c r="I7" s="274"/>
      <c r="J7" s="294"/>
      <c r="K7" s="329">
        <v>5</v>
      </c>
      <c r="L7" s="141" t="s">
        <v>88</v>
      </c>
      <c r="M7" s="150"/>
      <c r="N7" s="133" t="s">
        <v>129</v>
      </c>
      <c r="O7" s="96">
        <v>0.61</v>
      </c>
      <c r="P7" s="250">
        <v>0</v>
      </c>
      <c r="Q7" s="147" t="s">
        <v>15</v>
      </c>
      <c r="R7" s="147" t="s">
        <v>15</v>
      </c>
      <c r="S7" s="250">
        <v>4194</v>
      </c>
      <c r="T7" s="311">
        <v>0.1</v>
      </c>
      <c r="U7" s="311"/>
      <c r="V7" s="147" t="s">
        <v>15</v>
      </c>
      <c r="W7" s="147" t="s">
        <v>15</v>
      </c>
      <c r="X7" s="251">
        <f>85/24</f>
        <v>3.5416666666666665</v>
      </c>
      <c r="Y7" s="107">
        <v>0.9</v>
      </c>
      <c r="Z7" s="128" t="s">
        <v>137</v>
      </c>
      <c r="AA7" s="128" t="s">
        <v>137</v>
      </c>
      <c r="AB7" s="128"/>
      <c r="AC7" s="250">
        <v>2.34</v>
      </c>
      <c r="AD7" s="250">
        <v>9.7899999999999991</v>
      </c>
      <c r="AE7" s="127">
        <f>916/4.5/12/4</f>
        <v>4.2407407407407405</v>
      </c>
      <c r="AF7" s="147" t="s">
        <v>82</v>
      </c>
      <c r="AG7" s="147"/>
      <c r="AH7" s="147" t="s">
        <v>82</v>
      </c>
      <c r="AI7" s="304">
        <v>3.55</v>
      </c>
      <c r="AJ7" s="305"/>
      <c r="AK7" s="90">
        <v>1111</v>
      </c>
      <c r="AL7" s="306">
        <f>T7*AI7</f>
        <v>0.35499999999999998</v>
      </c>
      <c r="AM7" s="307"/>
      <c r="AN7" s="253">
        <f t="shared" si="0"/>
        <v>8.3069999999999986</v>
      </c>
      <c r="AO7" s="253">
        <f t="shared" si="1"/>
        <v>34.754499999999993</v>
      </c>
      <c r="AP7" s="113">
        <f t="shared" si="2"/>
        <v>14888.699999999999</v>
      </c>
      <c r="AQ7" s="249">
        <f>AP7/I3</f>
        <v>0.99257999999999991</v>
      </c>
      <c r="AR7" s="249"/>
      <c r="AS7" s="249" t="s">
        <v>82</v>
      </c>
      <c r="AT7" s="308">
        <f t="shared" si="3"/>
        <v>845.07042253521126</v>
      </c>
      <c r="AU7" s="309"/>
      <c r="AV7" s="309">
        <f>AP7/(AL7*100)</f>
        <v>419.4</v>
      </c>
      <c r="AW7" s="309"/>
      <c r="AX7" s="310">
        <f>H3/AT7/100</f>
        <v>0.35499999999999998</v>
      </c>
      <c r="AY7" s="310"/>
      <c r="AZ7" s="280">
        <f>AT7/H7</f>
        <v>2.8169014084507043E-2</v>
      </c>
      <c r="BA7" s="280"/>
      <c r="BB7" s="249"/>
      <c r="BC7" s="249" t="s">
        <v>82</v>
      </c>
      <c r="BD7" s="196" t="s">
        <v>82</v>
      </c>
      <c r="BE7" s="111"/>
      <c r="BF7" s="111"/>
      <c r="BG7" s="111"/>
      <c r="BH7" s="111"/>
      <c r="BI7" s="111"/>
      <c r="BJ7" s="111"/>
      <c r="BK7" s="111"/>
      <c r="BL7" s="111"/>
      <c r="BM7" s="111"/>
      <c r="BN7" s="111"/>
      <c r="BO7" s="111"/>
      <c r="BP7" s="111"/>
      <c r="BQ7" s="111"/>
      <c r="BR7" s="111"/>
      <c r="BS7" s="111"/>
      <c r="BT7" s="111"/>
      <c r="BU7" s="111"/>
      <c r="BV7" s="111"/>
      <c r="BW7" s="111"/>
      <c r="BX7" s="111"/>
      <c r="BY7" s="111"/>
    </row>
    <row r="8" spans="1:77" s="247" customFormat="1" ht="15.75" customHeight="1" x14ac:dyDescent="0.3">
      <c r="A8" s="278"/>
      <c r="B8" s="282"/>
      <c r="C8" s="282"/>
      <c r="D8" s="285"/>
      <c r="E8" s="288"/>
      <c r="F8" s="317"/>
      <c r="G8" s="291"/>
      <c r="H8" s="195">
        <f t="shared" si="4"/>
        <v>30000</v>
      </c>
      <c r="I8" s="274"/>
      <c r="J8" s="294"/>
      <c r="K8" s="331">
        <v>6</v>
      </c>
      <c r="L8" s="136" t="s">
        <v>87</v>
      </c>
      <c r="M8" s="131"/>
      <c r="N8" s="148" t="s">
        <v>113</v>
      </c>
      <c r="O8" s="249">
        <v>0.53549999999999998</v>
      </c>
      <c r="P8" s="250">
        <v>0</v>
      </c>
      <c r="Q8" s="118" t="s">
        <v>15</v>
      </c>
      <c r="R8" s="118" t="s">
        <v>15</v>
      </c>
      <c r="S8" s="250">
        <v>2600</v>
      </c>
      <c r="T8" s="239">
        <v>0.1</v>
      </c>
      <c r="U8" s="250">
        <v>0.1</v>
      </c>
      <c r="V8" s="118" t="s">
        <v>15</v>
      </c>
      <c r="W8" s="118" t="s">
        <v>15</v>
      </c>
      <c r="X8" s="251">
        <f>217/24</f>
        <v>9.0416666666666661</v>
      </c>
      <c r="Y8" s="107">
        <v>0.91400000000000003</v>
      </c>
      <c r="Z8" s="118">
        <v>13</v>
      </c>
      <c r="AA8" s="118">
        <v>13</v>
      </c>
      <c r="AB8" s="118"/>
      <c r="AC8" s="250">
        <v>0.32</v>
      </c>
      <c r="AD8" s="250">
        <v>2.46</v>
      </c>
      <c r="AE8" s="125">
        <f>302/4.5/12/4</f>
        <v>1.3981481481481481</v>
      </c>
      <c r="AF8" s="118" t="s">
        <v>82</v>
      </c>
      <c r="AG8" s="118"/>
      <c r="AH8" s="118" t="s">
        <v>82</v>
      </c>
      <c r="AI8" s="304">
        <v>5.75</v>
      </c>
      <c r="AJ8" s="305"/>
      <c r="AK8" s="90">
        <v>1111</v>
      </c>
      <c r="AL8" s="234">
        <f>AI8*T8</f>
        <v>0.57500000000000007</v>
      </c>
      <c r="AM8" s="235">
        <f>AI8*U8</f>
        <v>0.57500000000000007</v>
      </c>
      <c r="AN8" s="253">
        <f t="shared" si="0"/>
        <v>1.84</v>
      </c>
      <c r="AO8" s="253">
        <f t="shared" si="1"/>
        <v>14.145</v>
      </c>
      <c r="AP8" s="113">
        <f t="shared" si="2"/>
        <v>14950</v>
      </c>
      <c r="AQ8" s="249">
        <f>AP8/I3</f>
        <v>0.9966666666666667</v>
      </c>
      <c r="AR8" s="249"/>
      <c r="AS8" s="249" t="s">
        <v>82</v>
      </c>
      <c r="AT8" s="222">
        <f t="shared" si="3"/>
        <v>521.73913043478251</v>
      </c>
      <c r="AU8" s="174">
        <f>H8/(AM8*100)</f>
        <v>521.73913043478251</v>
      </c>
      <c r="AV8" s="174">
        <f>AP8/(AX8*100)</f>
        <v>259.99999999999994</v>
      </c>
      <c r="AW8" s="174">
        <f>AP8/(AY8*100)</f>
        <v>259.99999999999994</v>
      </c>
      <c r="AX8" s="242">
        <f>H8/AT8/100</f>
        <v>0.57500000000000018</v>
      </c>
      <c r="AY8" s="242">
        <f>H8/AU8/100</f>
        <v>0.57500000000000018</v>
      </c>
      <c r="AZ8" s="249">
        <f>AT8/H5</f>
        <v>1.7391304347826084E-2</v>
      </c>
      <c r="BA8" s="249">
        <f>AU8/H5</f>
        <v>1.7391304347826084E-2</v>
      </c>
      <c r="BB8" s="249"/>
      <c r="BC8" s="249" t="s">
        <v>82</v>
      </c>
      <c r="BD8" s="196" t="s">
        <v>82</v>
      </c>
      <c r="BE8" s="111"/>
      <c r="BF8" s="111"/>
      <c r="BG8" s="111"/>
      <c r="BH8" s="111"/>
      <c r="BI8" s="111"/>
      <c r="BJ8" s="111"/>
      <c r="BK8" s="111"/>
      <c r="BL8" s="111"/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</row>
    <row r="9" spans="1:77" s="104" customFormat="1" ht="15.75" customHeight="1" x14ac:dyDescent="0.3">
      <c r="A9" s="278"/>
      <c r="B9" s="282"/>
      <c r="C9" s="282"/>
      <c r="D9" s="285"/>
      <c r="E9" s="288"/>
      <c r="F9" s="317"/>
      <c r="G9" s="291"/>
      <c r="H9" s="197">
        <f t="shared" si="4"/>
        <v>30000</v>
      </c>
      <c r="I9" s="274"/>
      <c r="J9" s="294"/>
      <c r="K9" s="329">
        <v>7</v>
      </c>
      <c r="L9" s="164" t="s">
        <v>90</v>
      </c>
      <c r="M9" s="165"/>
      <c r="N9" s="208" t="s">
        <v>125</v>
      </c>
      <c r="O9" s="102">
        <v>0.43</v>
      </c>
      <c r="P9" s="193">
        <v>0</v>
      </c>
      <c r="Q9" s="166" t="s">
        <v>15</v>
      </c>
      <c r="R9" s="166" t="s">
        <v>15</v>
      </c>
      <c r="S9" s="193">
        <v>4233</v>
      </c>
      <c r="T9" s="193">
        <v>0.1</v>
      </c>
      <c r="U9" s="193">
        <v>0.15</v>
      </c>
      <c r="V9" s="166" t="s">
        <v>15</v>
      </c>
      <c r="W9" s="166" t="s">
        <v>15</v>
      </c>
      <c r="X9" s="156">
        <v>3.8</v>
      </c>
      <c r="Y9" s="157">
        <v>0.94</v>
      </c>
      <c r="Z9" s="158" t="s">
        <v>140</v>
      </c>
      <c r="AA9" s="158" t="s">
        <v>141</v>
      </c>
      <c r="AB9" s="158"/>
      <c r="AC9" s="193">
        <v>0.62</v>
      </c>
      <c r="AD9" s="193">
        <v>5.76</v>
      </c>
      <c r="AE9" s="159">
        <f>521/4.5/12/4</f>
        <v>2.4120370370370368</v>
      </c>
      <c r="AF9" s="166" t="s">
        <v>82</v>
      </c>
      <c r="AG9" s="166"/>
      <c r="AH9" s="166" t="s">
        <v>82</v>
      </c>
      <c r="AI9" s="304">
        <v>3.53</v>
      </c>
      <c r="AJ9" s="305"/>
      <c r="AK9" s="90">
        <v>1111</v>
      </c>
      <c r="AL9" s="234">
        <f>AI9*T9</f>
        <v>0.35299999999999998</v>
      </c>
      <c r="AM9" s="235">
        <f>AI9*U9</f>
        <v>0.52949999999999997</v>
      </c>
      <c r="AN9" s="253">
        <f>AI9*AC9</f>
        <v>2.1885999999999997</v>
      </c>
      <c r="AO9" s="253">
        <f>AI9*AD9</f>
        <v>20.332799999999999</v>
      </c>
      <c r="AP9" s="113">
        <f>S9*AI9</f>
        <v>14942.49</v>
      </c>
      <c r="AQ9" s="249">
        <f>AP9/I3</f>
        <v>0.996166</v>
      </c>
      <c r="AR9" s="249"/>
      <c r="AS9" s="249" t="s">
        <v>82</v>
      </c>
      <c r="AT9" s="222">
        <f t="shared" si="3"/>
        <v>849.85835694051002</v>
      </c>
      <c r="AU9" s="174">
        <f>H9/(AM9*100)</f>
        <v>566.57223796033998</v>
      </c>
      <c r="AV9" s="174">
        <f>AP9/(AX9*100)</f>
        <v>423.3</v>
      </c>
      <c r="AW9" s="174">
        <f>AP9/(AY9*100)</f>
        <v>282.20000000000005</v>
      </c>
      <c r="AX9" s="242">
        <f>H9/AT9/100</f>
        <v>0.35299999999999998</v>
      </c>
      <c r="AY9" s="242">
        <f>H9/AU9/100</f>
        <v>0.52949999999999997</v>
      </c>
      <c r="AZ9" s="249">
        <f>AT9/H6</f>
        <v>2.8328611898017001E-2</v>
      </c>
      <c r="BA9" s="249">
        <f>AU9/H6</f>
        <v>1.8885741265344667E-2</v>
      </c>
      <c r="BB9" s="249"/>
      <c r="BC9" s="249" t="s">
        <v>82</v>
      </c>
      <c r="BD9" s="196" t="s">
        <v>82</v>
      </c>
      <c r="BE9" s="160"/>
      <c r="BF9" s="160"/>
      <c r="BG9" s="160"/>
      <c r="BH9" s="160"/>
      <c r="BI9" s="160"/>
      <c r="BJ9" s="160"/>
      <c r="BK9" s="160"/>
      <c r="BL9" s="160"/>
      <c r="BM9" s="160"/>
      <c r="BN9" s="160"/>
      <c r="BO9" s="160"/>
      <c r="BP9" s="160"/>
      <c r="BQ9" s="160"/>
      <c r="BR9" s="160"/>
      <c r="BS9" s="160"/>
      <c r="BT9" s="160"/>
      <c r="BU9" s="160"/>
      <c r="BV9" s="160"/>
      <c r="BW9" s="160"/>
      <c r="BX9" s="160"/>
      <c r="BY9" s="160"/>
    </row>
    <row r="10" spans="1:77" s="247" customFormat="1" ht="15.75" customHeight="1" x14ac:dyDescent="0.3">
      <c r="A10" s="278"/>
      <c r="B10" s="282"/>
      <c r="C10" s="282"/>
      <c r="D10" s="285"/>
      <c r="E10" s="288"/>
      <c r="F10" s="317"/>
      <c r="G10" s="291"/>
      <c r="H10" s="195">
        <f t="shared" si="4"/>
        <v>30000</v>
      </c>
      <c r="I10" s="274"/>
      <c r="J10" s="294"/>
      <c r="K10" s="330">
        <v>8</v>
      </c>
      <c r="L10" s="216" t="s">
        <v>89</v>
      </c>
      <c r="M10" s="252"/>
      <c r="N10" s="133" t="s">
        <v>161</v>
      </c>
      <c r="O10" s="96">
        <v>0.44800000000000001</v>
      </c>
      <c r="P10" s="250">
        <v>0</v>
      </c>
      <c r="Q10" s="220" t="s">
        <v>15</v>
      </c>
      <c r="R10" s="220" t="s">
        <v>15</v>
      </c>
      <c r="S10" s="250">
        <v>12688</v>
      </c>
      <c r="T10" s="311">
        <v>0.1</v>
      </c>
      <c r="U10" s="311"/>
      <c r="V10" s="219" t="s">
        <v>15</v>
      </c>
      <c r="W10" s="219" t="s">
        <v>15</v>
      </c>
      <c r="X10" s="251">
        <f>199/24</f>
        <v>8.2916666666666661</v>
      </c>
      <c r="Y10" s="107">
        <v>0.9</v>
      </c>
      <c r="Z10" s="250">
        <v>16</v>
      </c>
      <c r="AA10" s="250">
        <v>16</v>
      </c>
      <c r="AB10" s="250"/>
      <c r="AC10" s="250">
        <v>5.13</v>
      </c>
      <c r="AD10" s="250">
        <v>21.9</v>
      </c>
      <c r="AE10" s="127">
        <f>753/4.5/12/4</f>
        <v>3.4861111111111112</v>
      </c>
      <c r="AF10" s="220" t="s">
        <v>82</v>
      </c>
      <c r="AG10" s="220" t="s">
        <v>82</v>
      </c>
      <c r="AH10" s="220" t="s">
        <v>82</v>
      </c>
      <c r="AI10" s="313">
        <v>1.18</v>
      </c>
      <c r="AJ10" s="311"/>
      <c r="AK10" s="250">
        <v>1111</v>
      </c>
      <c r="AL10" s="306">
        <f>T10*AI10</f>
        <v>0.11799999999999999</v>
      </c>
      <c r="AM10" s="307"/>
      <c r="AN10" s="250">
        <f>AI10*AC10</f>
        <v>6.0533999999999999</v>
      </c>
      <c r="AO10" s="250">
        <f>AI10*AD10</f>
        <v>25.841999999999995</v>
      </c>
      <c r="AP10" s="110">
        <f>S10*AI10</f>
        <v>14971.839999999998</v>
      </c>
      <c r="AQ10" s="249">
        <f>AP10/I3</f>
        <v>0.9981226666666666</v>
      </c>
      <c r="AR10" s="249"/>
      <c r="AS10" s="249" t="s">
        <v>82</v>
      </c>
      <c r="AT10" s="308">
        <f t="shared" si="3"/>
        <v>2542.3728813559323</v>
      </c>
      <c r="AU10" s="309"/>
      <c r="AV10" s="309">
        <f>AP10/(AL10*100)</f>
        <v>1268.8</v>
      </c>
      <c r="AW10" s="309"/>
      <c r="AX10" s="310">
        <f>H6/AT10/100</f>
        <v>0.11799999999999999</v>
      </c>
      <c r="AY10" s="310"/>
      <c r="AZ10" s="280">
        <f>AT10/H10</f>
        <v>8.4745762711864417E-2</v>
      </c>
      <c r="BA10" s="280"/>
      <c r="BB10" s="249"/>
      <c r="BC10" s="249" t="s">
        <v>82</v>
      </c>
      <c r="BD10" s="196" t="s">
        <v>82</v>
      </c>
      <c r="BE10" s="111"/>
      <c r="BF10" s="111"/>
      <c r="BG10" s="111"/>
      <c r="BH10" s="111"/>
      <c r="BI10" s="111"/>
      <c r="BJ10" s="111"/>
      <c r="BK10" s="111"/>
      <c r="BL10" s="111"/>
      <c r="BM10" s="111"/>
      <c r="BN10" s="111"/>
      <c r="BO10" s="111"/>
      <c r="BP10" s="111"/>
      <c r="BQ10" s="111"/>
      <c r="BR10" s="111"/>
      <c r="BS10" s="111"/>
      <c r="BT10" s="111"/>
      <c r="BU10" s="111"/>
      <c r="BV10" s="111"/>
      <c r="BW10" s="111"/>
      <c r="BX10" s="111"/>
      <c r="BY10" s="111"/>
    </row>
    <row r="11" spans="1:77" s="247" customFormat="1" ht="13.5" customHeight="1" x14ac:dyDescent="0.3">
      <c r="A11" s="278"/>
      <c r="B11" s="282"/>
      <c r="C11" s="282"/>
      <c r="D11" s="285"/>
      <c r="E11" s="288"/>
      <c r="F11" s="317"/>
      <c r="G11" s="291"/>
      <c r="H11" s="195">
        <f t="shared" si="4"/>
        <v>30000</v>
      </c>
      <c r="I11" s="274"/>
      <c r="J11" s="294"/>
      <c r="K11" s="329">
        <v>9</v>
      </c>
      <c r="L11" s="137" t="s">
        <v>97</v>
      </c>
      <c r="M11" s="155"/>
      <c r="N11" s="133" t="s">
        <v>152</v>
      </c>
      <c r="O11" s="96">
        <v>0.55300000000000005</v>
      </c>
      <c r="P11" s="250">
        <v>0</v>
      </c>
      <c r="Q11" s="172" t="s">
        <v>15</v>
      </c>
      <c r="R11" s="172" t="s">
        <v>15</v>
      </c>
      <c r="S11" s="250">
        <v>3328</v>
      </c>
      <c r="T11" s="311">
        <v>0.1</v>
      </c>
      <c r="U11" s="311"/>
      <c r="V11" s="172" t="s">
        <v>15</v>
      </c>
      <c r="W11" s="172" t="s">
        <v>15</v>
      </c>
      <c r="X11" s="251">
        <f>187/24</f>
        <v>7.791666666666667</v>
      </c>
      <c r="Y11" s="107">
        <v>0.9</v>
      </c>
      <c r="Z11" s="173" t="s">
        <v>140</v>
      </c>
      <c r="AA11" s="173" t="s">
        <v>140</v>
      </c>
      <c r="AB11" s="173"/>
      <c r="AC11" s="250">
        <v>0.62</v>
      </c>
      <c r="AD11" s="250">
        <v>5.76</v>
      </c>
      <c r="AE11" s="127">
        <f>1000/4.5/12/4</f>
        <v>4.6296296296296298</v>
      </c>
      <c r="AF11" s="172" t="s">
        <v>82</v>
      </c>
      <c r="AG11" s="172"/>
      <c r="AH11" s="172" t="s">
        <v>82</v>
      </c>
      <c r="AI11" s="304">
        <v>4.5</v>
      </c>
      <c r="AJ11" s="305"/>
      <c r="AK11" s="90">
        <v>1111</v>
      </c>
      <c r="AL11" s="306">
        <f>T11*AI11</f>
        <v>0.45</v>
      </c>
      <c r="AM11" s="307"/>
      <c r="AN11" s="253">
        <f t="shared" ref="AN11:AN19" si="5">AC11*AI11</f>
        <v>2.79</v>
      </c>
      <c r="AO11" s="253">
        <f t="shared" ref="AO11:AO19" si="6">AD11*AI11</f>
        <v>25.919999999999998</v>
      </c>
      <c r="AP11" s="113">
        <f t="shared" ref="AP11:AP15" si="7">S11*AI11</f>
        <v>14976</v>
      </c>
      <c r="AQ11" s="249">
        <f>AP11/I3</f>
        <v>0.99839999999999995</v>
      </c>
      <c r="AR11" s="249"/>
      <c r="AS11" s="249" t="s">
        <v>82</v>
      </c>
      <c r="AT11" s="308">
        <f t="shared" si="3"/>
        <v>666.66666666666663</v>
      </c>
      <c r="AU11" s="309"/>
      <c r="AV11" s="309">
        <f>AP11/(AL11*100)</f>
        <v>332.8</v>
      </c>
      <c r="AW11" s="309"/>
      <c r="AX11" s="310">
        <f t="shared" ref="AX11:AX19" si="8">H11/AT11/100</f>
        <v>0.45</v>
      </c>
      <c r="AY11" s="310"/>
      <c r="AZ11" s="280">
        <f>AT11/H11</f>
        <v>2.222222222222222E-2</v>
      </c>
      <c r="BA11" s="280"/>
      <c r="BB11" s="249"/>
      <c r="BC11" s="249" t="s">
        <v>82</v>
      </c>
      <c r="BD11" s="196" t="s">
        <v>82</v>
      </c>
      <c r="BE11" s="111"/>
      <c r="BF11" s="111"/>
      <c r="BG11" s="111"/>
      <c r="BH11" s="111"/>
      <c r="BI11" s="111"/>
      <c r="BJ11" s="111"/>
      <c r="BK11" s="111"/>
      <c r="BL11" s="111"/>
      <c r="BM11" s="111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</row>
    <row r="12" spans="1:77" s="105" customFormat="1" ht="15.75" customHeight="1" x14ac:dyDescent="0.3">
      <c r="A12" s="278"/>
      <c r="B12" s="282"/>
      <c r="C12" s="282"/>
      <c r="D12" s="285"/>
      <c r="E12" s="288"/>
      <c r="F12" s="318"/>
      <c r="G12" s="291"/>
      <c r="H12" s="198">
        <f t="shared" si="4"/>
        <v>30000</v>
      </c>
      <c r="I12" s="275"/>
      <c r="J12" s="294"/>
      <c r="K12" s="330">
        <v>10</v>
      </c>
      <c r="L12" s="265" t="s">
        <v>85</v>
      </c>
      <c r="M12" s="266"/>
      <c r="N12" s="209" t="s">
        <v>127</v>
      </c>
      <c r="O12" s="103">
        <v>0.54</v>
      </c>
      <c r="P12" s="112">
        <v>0</v>
      </c>
      <c r="Q12" s="213" t="s">
        <v>15</v>
      </c>
      <c r="R12" s="213" t="s">
        <v>15</v>
      </c>
      <c r="S12" s="112">
        <v>11495</v>
      </c>
      <c r="T12" s="112">
        <v>0.18</v>
      </c>
      <c r="U12" s="112">
        <v>0.1</v>
      </c>
      <c r="V12" s="213" t="s">
        <v>15</v>
      </c>
      <c r="W12" s="213" t="s">
        <v>15</v>
      </c>
      <c r="X12" s="161">
        <f>48/24</f>
        <v>2</v>
      </c>
      <c r="Y12" s="162">
        <v>0.9</v>
      </c>
      <c r="Z12" s="170" t="s">
        <v>142</v>
      </c>
      <c r="AA12" s="170" t="s">
        <v>143</v>
      </c>
      <c r="AB12" s="170"/>
      <c r="AC12" s="112">
        <v>1.34</v>
      </c>
      <c r="AD12" s="112">
        <v>12.9</v>
      </c>
      <c r="AE12" s="205">
        <f>1249/4.5/12/4</f>
        <v>5.7824074074074074</v>
      </c>
      <c r="AF12" s="213" t="s">
        <v>82</v>
      </c>
      <c r="AG12" s="213"/>
      <c r="AH12" s="213" t="s">
        <v>82</v>
      </c>
      <c r="AI12" s="314">
        <v>1.3</v>
      </c>
      <c r="AJ12" s="315"/>
      <c r="AK12" s="108">
        <v>1111</v>
      </c>
      <c r="AL12" s="267">
        <f>AI12*T12</f>
        <v>0.23399999999999999</v>
      </c>
      <c r="AM12" s="268">
        <f>AI12*U12</f>
        <v>0.13</v>
      </c>
      <c r="AN12" s="254">
        <f t="shared" si="5"/>
        <v>1.7420000000000002</v>
      </c>
      <c r="AO12" s="254">
        <f t="shared" si="6"/>
        <v>16.77</v>
      </c>
      <c r="AP12" s="245">
        <f t="shared" si="7"/>
        <v>14943.5</v>
      </c>
      <c r="AQ12" s="257">
        <f>AP12/I3</f>
        <v>0.9962333333333333</v>
      </c>
      <c r="AR12" s="257"/>
      <c r="AS12" s="257" t="s">
        <v>82</v>
      </c>
      <c r="AT12" s="269">
        <f t="shared" si="3"/>
        <v>1282.0512820512822</v>
      </c>
      <c r="AU12" s="270">
        <f>H12/(AM12*100)</f>
        <v>2307.6923076923076</v>
      </c>
      <c r="AV12" s="270">
        <f>AP12/(AX12*100)</f>
        <v>638.6111111111112</v>
      </c>
      <c r="AW12" s="270">
        <f>AP12/(AY12*100)</f>
        <v>1149.5</v>
      </c>
      <c r="AX12" s="271">
        <f t="shared" si="8"/>
        <v>0.23399999999999999</v>
      </c>
      <c r="AY12" s="271">
        <f>H12/AU12/100</f>
        <v>0.13</v>
      </c>
      <c r="AZ12" s="257">
        <f>AT12/H9</f>
        <v>4.2735042735042743E-2</v>
      </c>
      <c r="BA12" s="257">
        <f>AU12/H9</f>
        <v>7.6923076923076927E-2</v>
      </c>
      <c r="BB12" s="257"/>
      <c r="BC12" s="257" t="s">
        <v>82</v>
      </c>
      <c r="BD12" s="258" t="s">
        <v>82</v>
      </c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</row>
    <row r="13" spans="1:77" s="178" customFormat="1" ht="15.75" customHeight="1" x14ac:dyDescent="0.3">
      <c r="A13" s="278"/>
      <c r="B13" s="282"/>
      <c r="C13" s="282"/>
      <c r="D13" s="285"/>
      <c r="E13" s="288"/>
      <c r="F13" s="317">
        <f>(O13+O14+O15+O16+O17+O18+O19+O20+O21+O22)*0.9</f>
        <v>4.1761800000000004</v>
      </c>
      <c r="G13" s="291"/>
      <c r="H13" s="195">
        <f t="shared" si="4"/>
        <v>30000</v>
      </c>
      <c r="I13" s="274">
        <f>I3</f>
        <v>15000</v>
      </c>
      <c r="J13" s="294"/>
      <c r="K13" s="332">
        <v>11</v>
      </c>
      <c r="L13" s="142" t="s">
        <v>95</v>
      </c>
      <c r="M13" s="152"/>
      <c r="N13" s="133" t="s">
        <v>150</v>
      </c>
      <c r="O13" s="96">
        <v>0.36399999999999999</v>
      </c>
      <c r="P13" s="179">
        <v>0</v>
      </c>
      <c r="Q13" s="172" t="s">
        <v>15</v>
      </c>
      <c r="R13" s="172" t="s">
        <v>15</v>
      </c>
      <c r="S13" s="147">
        <v>3326</v>
      </c>
      <c r="T13" s="311">
        <v>0.1</v>
      </c>
      <c r="U13" s="311"/>
      <c r="V13" s="172" t="s">
        <v>15</v>
      </c>
      <c r="W13" s="172" t="s">
        <v>15</v>
      </c>
      <c r="X13" s="183">
        <f>100/24</f>
        <v>4.166666666666667</v>
      </c>
      <c r="Y13" s="107">
        <v>0.9</v>
      </c>
      <c r="Z13" s="173" t="s">
        <v>151</v>
      </c>
      <c r="AA13" s="173" t="s">
        <v>151</v>
      </c>
      <c r="AB13" s="173"/>
      <c r="AC13" s="179">
        <v>1.07</v>
      </c>
      <c r="AD13" s="179">
        <v>5.94</v>
      </c>
      <c r="AE13" s="127">
        <f>378/4.5/12/4</f>
        <v>1.75</v>
      </c>
      <c r="AF13" s="172" t="s">
        <v>82</v>
      </c>
      <c r="AG13" s="172"/>
      <c r="AH13" s="172" t="s">
        <v>82</v>
      </c>
      <c r="AI13" s="304">
        <v>4.5</v>
      </c>
      <c r="AJ13" s="305"/>
      <c r="AK13" s="90">
        <v>1111</v>
      </c>
      <c r="AL13" s="306">
        <f>T13*AI13</f>
        <v>0.45</v>
      </c>
      <c r="AM13" s="307"/>
      <c r="AN13" s="190">
        <f t="shared" si="5"/>
        <v>4.8150000000000004</v>
      </c>
      <c r="AO13" s="190">
        <f t="shared" si="6"/>
        <v>26.73</v>
      </c>
      <c r="AP13" s="113">
        <f t="shared" si="7"/>
        <v>14967</v>
      </c>
      <c r="AQ13" s="181">
        <f>AP13/I3</f>
        <v>0.99780000000000002</v>
      </c>
      <c r="AR13" s="181"/>
      <c r="AS13" s="181" t="s">
        <v>82</v>
      </c>
      <c r="AT13" s="308">
        <f t="shared" si="3"/>
        <v>666.66666666666663</v>
      </c>
      <c r="AU13" s="309"/>
      <c r="AV13" s="309">
        <f>AP13/(AL13*100)</f>
        <v>332.6</v>
      </c>
      <c r="AW13" s="309"/>
      <c r="AX13" s="310">
        <f t="shared" si="8"/>
        <v>0.45</v>
      </c>
      <c r="AY13" s="310"/>
      <c r="AZ13" s="280">
        <f>AT13/H13</f>
        <v>2.222222222222222E-2</v>
      </c>
      <c r="BA13" s="280"/>
      <c r="BB13" s="181"/>
      <c r="BC13" s="241" t="s">
        <v>82</v>
      </c>
      <c r="BD13" s="196" t="s">
        <v>82</v>
      </c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</row>
    <row r="14" spans="1:77" s="105" customFormat="1" ht="15.75" customHeight="1" x14ac:dyDescent="0.3">
      <c r="A14" s="278"/>
      <c r="B14" s="282"/>
      <c r="C14" s="282"/>
      <c r="D14" s="285"/>
      <c r="E14" s="288"/>
      <c r="F14" s="317"/>
      <c r="G14" s="291"/>
      <c r="H14" s="198">
        <f t="shared" si="4"/>
        <v>30000</v>
      </c>
      <c r="I14" s="274"/>
      <c r="J14" s="294"/>
      <c r="K14" s="330">
        <v>12</v>
      </c>
      <c r="L14" s="167" t="s">
        <v>112</v>
      </c>
      <c r="M14" s="168"/>
      <c r="N14" s="209" t="s">
        <v>124</v>
      </c>
      <c r="O14" s="103">
        <v>0.36</v>
      </c>
      <c r="P14" s="112">
        <v>0</v>
      </c>
      <c r="Q14" s="169" t="s">
        <v>15</v>
      </c>
      <c r="R14" s="169" t="s">
        <v>15</v>
      </c>
      <c r="S14" s="112">
        <v>5263</v>
      </c>
      <c r="T14" s="112">
        <v>0.16</v>
      </c>
      <c r="U14" s="112">
        <v>0.1</v>
      </c>
      <c r="V14" s="169" t="s">
        <v>15</v>
      </c>
      <c r="W14" s="169" t="s">
        <v>15</v>
      </c>
      <c r="X14" s="161">
        <v>8.66</v>
      </c>
      <c r="Y14" s="162">
        <v>0.9</v>
      </c>
      <c r="Z14" s="170" t="s">
        <v>135</v>
      </c>
      <c r="AA14" s="170" t="s">
        <v>136</v>
      </c>
      <c r="AB14" s="170"/>
      <c r="AC14" s="112">
        <v>0.81</v>
      </c>
      <c r="AD14" s="112">
        <v>7.28</v>
      </c>
      <c r="AE14" s="171">
        <f>372/4.5/12/4</f>
        <v>1.7222222222222223</v>
      </c>
      <c r="AF14" s="169" t="s">
        <v>82</v>
      </c>
      <c r="AG14" s="169"/>
      <c r="AH14" s="169" t="s">
        <v>82</v>
      </c>
      <c r="AI14" s="304">
        <v>2.85</v>
      </c>
      <c r="AJ14" s="305"/>
      <c r="AK14" s="90">
        <v>1111</v>
      </c>
      <c r="AL14" s="234">
        <f>AI14*T14</f>
        <v>0.45600000000000002</v>
      </c>
      <c r="AM14" s="235">
        <f>AI14*U14</f>
        <v>0.28500000000000003</v>
      </c>
      <c r="AN14" s="190">
        <f t="shared" si="5"/>
        <v>2.3085000000000004</v>
      </c>
      <c r="AO14" s="190">
        <f t="shared" si="6"/>
        <v>20.748000000000001</v>
      </c>
      <c r="AP14" s="113">
        <f t="shared" si="7"/>
        <v>14999.550000000001</v>
      </c>
      <c r="AQ14" s="181">
        <f>AP14/I3</f>
        <v>0.99997000000000003</v>
      </c>
      <c r="AR14" s="181"/>
      <c r="AS14" s="181" t="s">
        <v>82</v>
      </c>
      <c r="AT14" s="222">
        <f t="shared" si="3"/>
        <v>657.8947368421052</v>
      </c>
      <c r="AU14" s="174">
        <f>H14/(AM14*100)</f>
        <v>1052.6315789473683</v>
      </c>
      <c r="AV14" s="174">
        <f>AP14/(AX14*100)</f>
        <v>328.9375</v>
      </c>
      <c r="AW14" s="174">
        <f>AP14/(AY14*100)</f>
        <v>526.29999999999995</v>
      </c>
      <c r="AX14" s="242">
        <f t="shared" si="8"/>
        <v>0.45600000000000002</v>
      </c>
      <c r="AY14" s="242">
        <f>H14/AU14/100</f>
        <v>0.28500000000000003</v>
      </c>
      <c r="AZ14" s="181">
        <f>AT14/H11</f>
        <v>2.1929824561403508E-2</v>
      </c>
      <c r="BA14" s="181">
        <f>AU14/H11</f>
        <v>3.5087719298245612E-2</v>
      </c>
      <c r="BB14" s="181"/>
      <c r="BC14" s="240" t="s">
        <v>82</v>
      </c>
      <c r="BD14" s="196" t="s">
        <v>82</v>
      </c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3"/>
      <c r="BW14" s="163"/>
      <c r="BX14" s="163"/>
      <c r="BY14" s="163"/>
    </row>
    <row r="15" spans="1:77" s="104" customFormat="1" ht="15.75" customHeight="1" x14ac:dyDescent="0.3">
      <c r="A15" s="278"/>
      <c r="B15" s="282"/>
      <c r="C15" s="282"/>
      <c r="D15" s="285"/>
      <c r="E15" s="288"/>
      <c r="F15" s="317"/>
      <c r="G15" s="291"/>
      <c r="H15" s="197">
        <f t="shared" si="4"/>
        <v>30000</v>
      </c>
      <c r="I15" s="274"/>
      <c r="J15" s="294"/>
      <c r="K15" s="329">
        <v>13</v>
      </c>
      <c r="L15" s="199" t="s">
        <v>73</v>
      </c>
      <c r="M15" s="200"/>
      <c r="N15" s="208" t="s">
        <v>148</v>
      </c>
      <c r="O15" s="102">
        <v>0.34</v>
      </c>
      <c r="P15" s="193">
        <v>0</v>
      </c>
      <c r="Q15" s="201" t="s">
        <v>15</v>
      </c>
      <c r="R15" s="201" t="s">
        <v>15</v>
      </c>
      <c r="S15" s="202">
        <v>39120</v>
      </c>
      <c r="T15" s="193">
        <v>0.23</v>
      </c>
      <c r="U15" s="193">
        <v>0.1</v>
      </c>
      <c r="V15" s="201" t="s">
        <v>15</v>
      </c>
      <c r="W15" s="201" t="s">
        <v>15</v>
      </c>
      <c r="X15" s="156">
        <f>162/24</f>
        <v>6.75</v>
      </c>
      <c r="Y15" s="157">
        <v>0.9</v>
      </c>
      <c r="Z15" s="203" t="s">
        <v>135</v>
      </c>
      <c r="AA15" s="203" t="s">
        <v>136</v>
      </c>
      <c r="AB15" s="203"/>
      <c r="AC15" s="193">
        <v>9.07</v>
      </c>
      <c r="AD15" s="193">
        <v>38.549999999999997</v>
      </c>
      <c r="AE15" s="204">
        <f>767/4.5/12/4</f>
        <v>3.550925925925926</v>
      </c>
      <c r="AF15" s="201" t="s">
        <v>82</v>
      </c>
      <c r="AG15" s="201"/>
      <c r="AH15" s="201" t="s">
        <v>82</v>
      </c>
      <c r="AI15" s="304">
        <v>0.38</v>
      </c>
      <c r="AJ15" s="305"/>
      <c r="AK15" s="90">
        <v>1111</v>
      </c>
      <c r="AL15" s="234">
        <f>AI15*T15</f>
        <v>8.7400000000000005E-2</v>
      </c>
      <c r="AM15" s="235">
        <f>AI15*U15</f>
        <v>3.8000000000000006E-2</v>
      </c>
      <c r="AN15" s="190">
        <f t="shared" si="5"/>
        <v>3.4466000000000001</v>
      </c>
      <c r="AO15" s="190">
        <f t="shared" si="6"/>
        <v>14.648999999999999</v>
      </c>
      <c r="AP15" s="113">
        <f t="shared" si="7"/>
        <v>14865.6</v>
      </c>
      <c r="AQ15" s="181">
        <f>AP15/I3</f>
        <v>0.99104000000000003</v>
      </c>
      <c r="AR15" s="181"/>
      <c r="AS15" s="181" t="s">
        <v>82</v>
      </c>
      <c r="AT15" s="222">
        <f t="shared" si="3"/>
        <v>3432.4942791762014</v>
      </c>
      <c r="AU15" s="174">
        <f>H15/(AM15*100)</f>
        <v>7894.7368421052615</v>
      </c>
      <c r="AV15" s="174">
        <f>AP15/(AX15*100)</f>
        <v>1700.8695652173913</v>
      </c>
      <c r="AW15" s="174">
        <f>AP15/(AY15*100)</f>
        <v>3911.9999999999995</v>
      </c>
      <c r="AX15" s="242">
        <f t="shared" si="8"/>
        <v>8.7400000000000005E-2</v>
      </c>
      <c r="AY15" s="242">
        <f>H15/AU15/100</f>
        <v>3.8000000000000006E-2</v>
      </c>
      <c r="AZ15" s="181">
        <f>AT15/H12</f>
        <v>0.11441647597254005</v>
      </c>
      <c r="BA15" s="181">
        <f>AU15/H12</f>
        <v>0.26315789473684204</v>
      </c>
      <c r="BB15" s="181"/>
      <c r="BC15" s="241" t="s">
        <v>82</v>
      </c>
      <c r="BD15" s="196" t="s">
        <v>82</v>
      </c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</row>
    <row r="16" spans="1:77" s="178" customFormat="1" ht="15.75" customHeight="1" x14ac:dyDescent="0.3">
      <c r="A16" s="278"/>
      <c r="B16" s="282"/>
      <c r="C16" s="282"/>
      <c r="D16" s="285"/>
      <c r="E16" s="288"/>
      <c r="F16" s="317"/>
      <c r="G16" s="291"/>
      <c r="H16" s="195">
        <f t="shared" si="4"/>
        <v>30000</v>
      </c>
      <c r="I16" s="274"/>
      <c r="J16" s="294"/>
      <c r="K16" s="330">
        <v>14</v>
      </c>
      <c r="L16" s="143" t="s">
        <v>116</v>
      </c>
      <c r="M16" s="151"/>
      <c r="N16" s="243" t="s">
        <v>174</v>
      </c>
      <c r="O16" s="96">
        <v>0.26</v>
      </c>
      <c r="P16" s="179"/>
      <c r="Q16" s="179"/>
      <c r="R16" s="179"/>
      <c r="S16" s="179"/>
      <c r="T16" s="179"/>
      <c r="U16" s="179"/>
      <c r="V16" s="179"/>
      <c r="W16" s="179"/>
      <c r="X16" s="183"/>
      <c r="Y16" s="107"/>
      <c r="Z16" s="121"/>
      <c r="AA16" s="121"/>
      <c r="AB16" s="121"/>
      <c r="AC16" s="179"/>
      <c r="AD16" s="179"/>
      <c r="AE16" s="185"/>
      <c r="AF16" s="179"/>
      <c r="AG16" s="179"/>
      <c r="AH16" s="179"/>
      <c r="AI16" s="304">
        <v>1</v>
      </c>
      <c r="AJ16" s="305"/>
      <c r="AK16" s="90">
        <v>1111</v>
      </c>
      <c r="AL16" s="306">
        <f t="shared" ref="AL16:AL19" si="9">T16*AI16</f>
        <v>0</v>
      </c>
      <c r="AM16" s="307"/>
      <c r="AN16" s="190">
        <f t="shared" si="5"/>
        <v>0</v>
      </c>
      <c r="AO16" s="190">
        <f t="shared" si="6"/>
        <v>0</v>
      </c>
      <c r="AP16" s="113">
        <f>S16*AI16</f>
        <v>0</v>
      </c>
      <c r="AQ16" s="181">
        <f>AP16/I3</f>
        <v>0</v>
      </c>
      <c r="AR16" s="181"/>
      <c r="AS16" s="181"/>
      <c r="AT16" s="308" t="e">
        <f t="shared" si="3"/>
        <v>#DIV/0!</v>
      </c>
      <c r="AU16" s="309"/>
      <c r="AV16" s="309" t="e">
        <f>AP16/(AL16*100)</f>
        <v>#DIV/0!</v>
      </c>
      <c r="AW16" s="309"/>
      <c r="AX16" s="310" t="e">
        <f t="shared" si="8"/>
        <v>#DIV/0!</v>
      </c>
      <c r="AY16" s="310"/>
      <c r="AZ16" s="280" t="e">
        <f>AT16/H16</f>
        <v>#DIV/0!</v>
      </c>
      <c r="BA16" s="280"/>
      <c r="BB16" s="181"/>
      <c r="BC16" s="181"/>
      <c r="BD16" s="196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</row>
    <row r="17" spans="1:77" s="178" customFormat="1" ht="15.75" customHeight="1" x14ac:dyDescent="0.3">
      <c r="A17" s="278"/>
      <c r="B17" s="282"/>
      <c r="C17" s="282"/>
      <c r="D17" s="285"/>
      <c r="E17" s="288"/>
      <c r="F17" s="317"/>
      <c r="G17" s="291"/>
      <c r="H17" s="195">
        <f t="shared" si="4"/>
        <v>30000</v>
      </c>
      <c r="I17" s="274"/>
      <c r="J17" s="294"/>
      <c r="K17" s="329">
        <v>15</v>
      </c>
      <c r="L17" s="144" t="s">
        <v>81</v>
      </c>
      <c r="M17" s="153"/>
      <c r="N17" s="210" t="s">
        <v>107</v>
      </c>
      <c r="O17" s="181">
        <v>0.87</v>
      </c>
      <c r="P17" s="179">
        <v>0</v>
      </c>
      <c r="Q17" s="116" t="s">
        <v>15</v>
      </c>
      <c r="R17" s="116" t="s">
        <v>15</v>
      </c>
      <c r="S17" s="130">
        <v>4800</v>
      </c>
      <c r="T17" s="311">
        <v>0.1</v>
      </c>
      <c r="U17" s="311"/>
      <c r="V17" s="116" t="s">
        <v>15</v>
      </c>
      <c r="W17" s="116" t="s">
        <v>15</v>
      </c>
      <c r="X17" s="183">
        <v>3.8</v>
      </c>
      <c r="Y17" s="117">
        <v>0.97</v>
      </c>
      <c r="Z17" s="116">
        <v>22</v>
      </c>
      <c r="AA17" s="116">
        <v>22</v>
      </c>
      <c r="AB17" s="116"/>
      <c r="AC17" s="116">
        <v>0.75</v>
      </c>
      <c r="AD17" s="116">
        <v>7.18</v>
      </c>
      <c r="AE17" s="125">
        <f>1225/4.5/12/4</f>
        <v>5.6712962962962967</v>
      </c>
      <c r="AF17" s="118" t="s">
        <v>82</v>
      </c>
      <c r="AG17" s="118"/>
      <c r="AH17" s="118" t="s">
        <v>82</v>
      </c>
      <c r="AI17" s="304">
        <v>3.12</v>
      </c>
      <c r="AJ17" s="305"/>
      <c r="AK17" s="90">
        <v>1111</v>
      </c>
      <c r="AL17" s="306">
        <f t="shared" si="9"/>
        <v>0.31200000000000006</v>
      </c>
      <c r="AM17" s="307"/>
      <c r="AN17" s="190">
        <f t="shared" si="5"/>
        <v>2.34</v>
      </c>
      <c r="AO17" s="190">
        <f t="shared" si="6"/>
        <v>22.401599999999998</v>
      </c>
      <c r="AP17" s="113">
        <f t="shared" ref="AP17:AP19" si="10">S17*AI17</f>
        <v>14976</v>
      </c>
      <c r="AQ17" s="181">
        <f>AP17/I3</f>
        <v>0.99839999999999995</v>
      </c>
      <c r="AR17" s="181"/>
      <c r="AS17" s="181" t="s">
        <v>82</v>
      </c>
      <c r="AT17" s="308">
        <f t="shared" si="3"/>
        <v>961.53846153846132</v>
      </c>
      <c r="AU17" s="309"/>
      <c r="AV17" s="309">
        <f>AP17/(AL17*100)</f>
        <v>479.99999999999989</v>
      </c>
      <c r="AW17" s="309"/>
      <c r="AX17" s="310">
        <f t="shared" si="8"/>
        <v>0.31200000000000006</v>
      </c>
      <c r="AY17" s="310"/>
      <c r="AZ17" s="280">
        <f>AT17/H17</f>
        <v>3.2051282051282041E-2</v>
      </c>
      <c r="BA17" s="280"/>
      <c r="BB17" s="181"/>
      <c r="BC17" s="240" t="s">
        <v>82</v>
      </c>
      <c r="BD17" s="196" t="s">
        <v>82</v>
      </c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</row>
    <row r="18" spans="1:77" s="178" customFormat="1" ht="15.75" customHeight="1" x14ac:dyDescent="0.3">
      <c r="A18" s="278"/>
      <c r="B18" s="282"/>
      <c r="C18" s="282"/>
      <c r="D18" s="285"/>
      <c r="E18" s="288"/>
      <c r="F18" s="317"/>
      <c r="G18" s="291"/>
      <c r="H18" s="195">
        <f t="shared" si="4"/>
        <v>30000</v>
      </c>
      <c r="I18" s="274"/>
      <c r="J18" s="294"/>
      <c r="K18" s="330">
        <v>16</v>
      </c>
      <c r="L18" s="138" t="s">
        <v>96</v>
      </c>
      <c r="M18" s="149"/>
      <c r="N18" s="211" t="s">
        <v>122</v>
      </c>
      <c r="O18" s="96">
        <v>0.64700000000000002</v>
      </c>
      <c r="P18" s="179">
        <v>0</v>
      </c>
      <c r="Q18" s="119" t="s">
        <v>15</v>
      </c>
      <c r="R18" s="119" t="s">
        <v>15</v>
      </c>
      <c r="S18" s="179">
        <v>3700</v>
      </c>
      <c r="T18" s="311">
        <v>0.1</v>
      </c>
      <c r="U18" s="311"/>
      <c r="V18" s="119" t="s">
        <v>15</v>
      </c>
      <c r="W18" s="119" t="s">
        <v>15</v>
      </c>
      <c r="X18" s="183">
        <v>1.9</v>
      </c>
      <c r="Y18" s="107">
        <v>0.82899999999999996</v>
      </c>
      <c r="Z18" s="128" t="s">
        <v>134</v>
      </c>
      <c r="AA18" s="128" t="s">
        <v>134</v>
      </c>
      <c r="AB18" s="128"/>
      <c r="AC18" s="179">
        <v>1.8</v>
      </c>
      <c r="AD18" s="179">
        <v>7.45</v>
      </c>
      <c r="AE18" s="126">
        <f>631/4.5/12/4</f>
        <v>2.9212962962962963</v>
      </c>
      <c r="AF18" s="119" t="s">
        <v>82</v>
      </c>
      <c r="AG18" s="119"/>
      <c r="AH18" s="119" t="s">
        <v>82</v>
      </c>
      <c r="AI18" s="304">
        <v>4.05</v>
      </c>
      <c r="AJ18" s="305"/>
      <c r="AK18" s="90">
        <v>1111</v>
      </c>
      <c r="AL18" s="306">
        <f t="shared" si="9"/>
        <v>0.40500000000000003</v>
      </c>
      <c r="AM18" s="307"/>
      <c r="AN18" s="190">
        <f t="shared" si="5"/>
        <v>7.29</v>
      </c>
      <c r="AO18" s="190">
        <f t="shared" si="6"/>
        <v>30.172499999999999</v>
      </c>
      <c r="AP18" s="113">
        <f t="shared" si="10"/>
        <v>14985</v>
      </c>
      <c r="AQ18" s="181">
        <f>AP18/I3</f>
        <v>0.999</v>
      </c>
      <c r="AR18" s="181"/>
      <c r="AS18" s="181" t="s">
        <v>82</v>
      </c>
      <c r="AT18" s="308">
        <f t="shared" si="3"/>
        <v>740.74074074074076</v>
      </c>
      <c r="AU18" s="309"/>
      <c r="AV18" s="309">
        <f>AP18/(AL18*100)</f>
        <v>370</v>
      </c>
      <c r="AW18" s="309"/>
      <c r="AX18" s="310">
        <f t="shared" si="8"/>
        <v>0.40500000000000003</v>
      </c>
      <c r="AY18" s="310"/>
      <c r="AZ18" s="280">
        <f>AT18/H18</f>
        <v>2.469135802469136E-2</v>
      </c>
      <c r="BA18" s="280"/>
      <c r="BB18" s="181"/>
      <c r="BC18" s="240" t="s">
        <v>82</v>
      </c>
      <c r="BD18" s="196" t="s">
        <v>82</v>
      </c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</row>
    <row r="19" spans="1:77" s="178" customFormat="1" ht="15.75" customHeight="1" x14ac:dyDescent="0.3">
      <c r="A19" s="278"/>
      <c r="B19" s="282"/>
      <c r="C19" s="282"/>
      <c r="D19" s="285"/>
      <c r="E19" s="288"/>
      <c r="F19" s="317"/>
      <c r="G19" s="291"/>
      <c r="H19" s="195">
        <f t="shared" si="4"/>
        <v>30000</v>
      </c>
      <c r="I19" s="274"/>
      <c r="J19" s="294"/>
      <c r="K19" s="329">
        <v>17</v>
      </c>
      <c r="L19" s="217" t="s">
        <v>93</v>
      </c>
      <c r="M19" s="187"/>
      <c r="N19" s="133" t="s">
        <v>165</v>
      </c>
      <c r="O19" s="96">
        <v>0.39019999999999999</v>
      </c>
      <c r="P19" s="179">
        <v>0</v>
      </c>
      <c r="Q19" s="220" t="s">
        <v>15</v>
      </c>
      <c r="R19" s="220" t="s">
        <v>15</v>
      </c>
      <c r="S19" s="179">
        <v>6963</v>
      </c>
      <c r="T19" s="311">
        <v>0.1</v>
      </c>
      <c r="U19" s="311"/>
      <c r="V19" s="220" t="s">
        <v>15</v>
      </c>
      <c r="W19" s="220" t="s">
        <v>15</v>
      </c>
      <c r="X19" s="183">
        <f>55/24</f>
        <v>2.2916666666666665</v>
      </c>
      <c r="Y19" s="107">
        <v>0.9</v>
      </c>
      <c r="Z19" s="221" t="s">
        <v>144</v>
      </c>
      <c r="AA19" s="221" t="s">
        <v>144</v>
      </c>
      <c r="AB19" s="221"/>
      <c r="AC19" s="179">
        <v>5.13</v>
      </c>
      <c r="AD19" s="179">
        <v>21.9</v>
      </c>
      <c r="AE19" s="125">
        <f>921/4.5/12/4</f>
        <v>4.2638888888888884</v>
      </c>
      <c r="AF19" s="220" t="s">
        <v>82</v>
      </c>
      <c r="AG19" s="220" t="s">
        <v>82</v>
      </c>
      <c r="AH19" s="220" t="s">
        <v>82</v>
      </c>
      <c r="AI19" s="304">
        <v>2.15</v>
      </c>
      <c r="AJ19" s="305"/>
      <c r="AK19" s="90">
        <v>1111</v>
      </c>
      <c r="AL19" s="306">
        <f t="shared" si="9"/>
        <v>0.215</v>
      </c>
      <c r="AM19" s="307"/>
      <c r="AN19" s="190">
        <f t="shared" si="5"/>
        <v>11.029499999999999</v>
      </c>
      <c r="AO19" s="190">
        <f t="shared" si="6"/>
        <v>47.084999999999994</v>
      </c>
      <c r="AP19" s="113">
        <f t="shared" si="10"/>
        <v>14970.449999999999</v>
      </c>
      <c r="AQ19" s="181">
        <f>AP19/I3</f>
        <v>0.99802999999999997</v>
      </c>
      <c r="AR19" s="181"/>
      <c r="AS19" s="181" t="s">
        <v>82</v>
      </c>
      <c r="AT19" s="308">
        <f t="shared" si="3"/>
        <v>1395.3488372093022</v>
      </c>
      <c r="AU19" s="309"/>
      <c r="AV19" s="309">
        <f>AP19/(AL19*100)</f>
        <v>696.3</v>
      </c>
      <c r="AW19" s="309"/>
      <c r="AX19" s="310">
        <f t="shared" si="8"/>
        <v>0.215</v>
      </c>
      <c r="AY19" s="310"/>
      <c r="AZ19" s="280">
        <f>AT19/H19</f>
        <v>4.6511627906976744E-2</v>
      </c>
      <c r="BA19" s="280"/>
      <c r="BB19" s="181"/>
      <c r="BC19" s="240" t="s">
        <v>82</v>
      </c>
      <c r="BD19" s="196" t="s">
        <v>82</v>
      </c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</row>
    <row r="20" spans="1:77" s="105" customFormat="1" ht="15.75" customHeight="1" x14ac:dyDescent="0.3">
      <c r="A20" s="278"/>
      <c r="B20" s="282"/>
      <c r="C20" s="282"/>
      <c r="D20" s="285"/>
      <c r="E20" s="288"/>
      <c r="F20" s="317"/>
      <c r="G20" s="291"/>
      <c r="H20" s="198">
        <f>H19</f>
        <v>30000</v>
      </c>
      <c r="I20" s="274"/>
      <c r="J20" s="294"/>
      <c r="K20" s="330">
        <v>18</v>
      </c>
      <c r="L20" s="214" t="s">
        <v>86</v>
      </c>
      <c r="M20" s="212"/>
      <c r="N20" s="209" t="s">
        <v>126</v>
      </c>
      <c r="O20" s="103">
        <v>0.35</v>
      </c>
      <c r="P20" s="112">
        <v>0</v>
      </c>
      <c r="Q20" s="213" t="s">
        <v>15</v>
      </c>
      <c r="R20" s="213" t="s">
        <v>15</v>
      </c>
      <c r="S20" s="112">
        <v>11728</v>
      </c>
      <c r="T20" s="112">
        <v>0.27</v>
      </c>
      <c r="U20" s="112">
        <v>0.1</v>
      </c>
      <c r="V20" s="213" t="s">
        <v>15</v>
      </c>
      <c r="W20" s="213" t="s">
        <v>15</v>
      </c>
      <c r="X20" s="161">
        <v>6.2</v>
      </c>
      <c r="Y20" s="162">
        <v>0.9</v>
      </c>
      <c r="Z20" s="170" t="s">
        <v>144</v>
      </c>
      <c r="AA20" s="170" t="s">
        <v>145</v>
      </c>
      <c r="AB20" s="170"/>
      <c r="AC20" s="112">
        <v>1.1299999999999999</v>
      </c>
      <c r="AD20" s="112">
        <v>9.74</v>
      </c>
      <c r="AE20" s="205">
        <f>538/4.5/12/4</f>
        <v>2.4907407407407409</v>
      </c>
      <c r="AF20" s="213" t="s">
        <v>82</v>
      </c>
      <c r="AG20" s="213"/>
      <c r="AH20" s="213" t="s">
        <v>82</v>
      </c>
      <c r="AI20" s="304">
        <v>1.27</v>
      </c>
      <c r="AJ20" s="305"/>
      <c r="AK20" s="90">
        <v>1111</v>
      </c>
      <c r="AL20" s="234">
        <f>AI20*T20</f>
        <v>0.34290000000000004</v>
      </c>
      <c r="AM20" s="235">
        <f>AI20*U20</f>
        <v>0.127</v>
      </c>
      <c r="AN20" s="190">
        <f>AC20*AI20</f>
        <v>1.4350999999999998</v>
      </c>
      <c r="AO20" s="190">
        <f>AD20*AI20</f>
        <v>12.3698</v>
      </c>
      <c r="AP20" s="113">
        <f>S20*AI20</f>
        <v>14894.56</v>
      </c>
      <c r="AQ20" s="181">
        <f>AP20/I3</f>
        <v>0.99297066666666667</v>
      </c>
      <c r="AR20" s="181"/>
      <c r="AS20" s="181" t="s">
        <v>82</v>
      </c>
      <c r="AT20" s="222">
        <f>H10/(AL20*100)</f>
        <v>874.89063867016603</v>
      </c>
      <c r="AU20" s="174">
        <f>H10/(AM20*100)</f>
        <v>2362.2047244094488</v>
      </c>
      <c r="AV20" s="174">
        <f>AP20/(AX20*100)</f>
        <v>434.37037037037027</v>
      </c>
      <c r="AW20" s="174">
        <f>AP20/(AY20*100)</f>
        <v>1172.8</v>
      </c>
      <c r="AX20" s="242">
        <f>H10/AT20/100</f>
        <v>0.34290000000000004</v>
      </c>
      <c r="AY20" s="242">
        <f>H10/AU20/100</f>
        <v>0.127</v>
      </c>
      <c r="AZ20" s="181">
        <f>AT20/H7</f>
        <v>2.9163021289005536E-2</v>
      </c>
      <c r="BA20" s="181">
        <f>AU20/H7</f>
        <v>7.874015748031496E-2</v>
      </c>
      <c r="BB20" s="181"/>
      <c r="BC20" s="241" t="s">
        <v>82</v>
      </c>
      <c r="BD20" s="196" t="s">
        <v>82</v>
      </c>
      <c r="BE20" s="163"/>
      <c r="BF20" s="163"/>
      <c r="BG20" s="163"/>
      <c r="BH20" s="163"/>
      <c r="BI20" s="163"/>
      <c r="BJ20" s="163"/>
      <c r="BK20" s="163"/>
      <c r="BL20" s="163"/>
      <c r="BM20" s="163"/>
      <c r="BN20" s="163"/>
      <c r="BO20" s="163"/>
      <c r="BP20" s="163"/>
      <c r="BQ20" s="163"/>
      <c r="BR20" s="163"/>
      <c r="BS20" s="163"/>
      <c r="BT20" s="163"/>
      <c r="BU20" s="163"/>
      <c r="BV20" s="163"/>
      <c r="BW20" s="163"/>
      <c r="BX20" s="163"/>
      <c r="BY20" s="163"/>
    </row>
    <row r="21" spans="1:77" s="178" customFormat="1" ht="15.75" customHeight="1" x14ac:dyDescent="0.3">
      <c r="A21" s="278"/>
      <c r="B21" s="282"/>
      <c r="C21" s="282"/>
      <c r="D21" s="285"/>
      <c r="E21" s="288"/>
      <c r="F21" s="317"/>
      <c r="G21" s="291"/>
      <c r="H21" s="134">
        <f>H20</f>
        <v>30000</v>
      </c>
      <c r="I21" s="274"/>
      <c r="J21" s="294"/>
      <c r="K21" s="333">
        <v>19</v>
      </c>
      <c r="L21" s="122" t="s">
        <v>117</v>
      </c>
      <c r="M21" s="154"/>
      <c r="N21" s="133" t="s">
        <v>169</v>
      </c>
      <c r="O21" s="96">
        <v>0.3</v>
      </c>
      <c r="P21" s="179">
        <v>0</v>
      </c>
      <c r="Q21" s="220" t="s">
        <v>15</v>
      </c>
      <c r="R21" s="220" t="s">
        <v>15</v>
      </c>
      <c r="S21" s="179">
        <v>11630</v>
      </c>
      <c r="T21" s="179">
        <v>0.1</v>
      </c>
      <c r="U21" s="179">
        <v>0.14000000000000001</v>
      </c>
      <c r="V21" s="220" t="s">
        <v>15</v>
      </c>
      <c r="W21" s="220" t="s">
        <v>15</v>
      </c>
      <c r="X21" s="183">
        <f>109/24</f>
        <v>4.541666666666667</v>
      </c>
      <c r="Y21" s="107">
        <v>0.9</v>
      </c>
      <c r="Z21" s="221" t="s">
        <v>143</v>
      </c>
      <c r="AA21" s="221" t="s">
        <v>170</v>
      </c>
      <c r="AB21" s="221"/>
      <c r="AC21" s="179">
        <v>1.26</v>
      </c>
      <c r="AD21" s="179">
        <v>12.4</v>
      </c>
      <c r="AE21" s="204">
        <f>996/4.5/12/4</f>
        <v>4.6111111111111116</v>
      </c>
      <c r="AF21" s="220" t="s">
        <v>82</v>
      </c>
      <c r="AG21" s="179"/>
      <c r="AH21" s="220" t="s">
        <v>82</v>
      </c>
      <c r="AI21" s="304">
        <v>1.28</v>
      </c>
      <c r="AJ21" s="305"/>
      <c r="AK21" s="90">
        <v>1111</v>
      </c>
      <c r="AL21" s="234">
        <f>AI21*T21</f>
        <v>0.128</v>
      </c>
      <c r="AM21" s="235">
        <f>AI21*U21</f>
        <v>0.17920000000000003</v>
      </c>
      <c r="AN21" s="190">
        <f>AI21*AC21</f>
        <v>1.6128</v>
      </c>
      <c r="AO21" s="190">
        <f>AI21*AD21</f>
        <v>15.872000000000002</v>
      </c>
      <c r="AP21" s="113">
        <f>S21*AI21</f>
        <v>14886.4</v>
      </c>
      <c r="AQ21" s="181">
        <f>AP21/I13</f>
        <v>0.99242666666666668</v>
      </c>
      <c r="AR21" s="181"/>
      <c r="AS21" s="181" t="s">
        <v>82</v>
      </c>
      <c r="AT21" s="222">
        <f>H21/(AL21*100)</f>
        <v>2343.75</v>
      </c>
      <c r="AU21" s="174">
        <f>H21/(AM21*100)</f>
        <v>1674.1071428571427</v>
      </c>
      <c r="AV21" s="174">
        <f>AP21/(AX21*100)</f>
        <v>1163</v>
      </c>
      <c r="AW21" s="174">
        <f>AP21/(AY21*100)</f>
        <v>830.71428571428567</v>
      </c>
      <c r="AX21" s="242">
        <f>H21/AT21/100</f>
        <v>0.128</v>
      </c>
      <c r="AY21" s="242">
        <f>H21/AU21/100</f>
        <v>0.17920000000000003</v>
      </c>
      <c r="AZ21" s="181">
        <f>AT21/H18</f>
        <v>7.8125E-2</v>
      </c>
      <c r="BA21" s="181">
        <f>AU21/H18</f>
        <v>5.5803571428571425E-2</v>
      </c>
      <c r="BB21" s="181"/>
      <c r="BC21" s="241" t="s">
        <v>82</v>
      </c>
      <c r="BD21" s="196" t="s">
        <v>82</v>
      </c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</row>
    <row r="22" spans="1:77" s="189" customFormat="1" ht="15.75" customHeight="1" thickBot="1" x14ac:dyDescent="0.35">
      <c r="A22" s="278"/>
      <c r="B22" s="282"/>
      <c r="C22" s="282"/>
      <c r="D22" s="285"/>
      <c r="E22" s="288"/>
      <c r="F22" s="317"/>
      <c r="G22" s="291"/>
      <c r="H22" s="134">
        <f t="shared" ref="H22:H24" si="11">H21</f>
        <v>30000</v>
      </c>
      <c r="I22" s="274"/>
      <c r="J22" s="294"/>
      <c r="K22" s="334">
        <v>20</v>
      </c>
      <c r="L22" s="138" t="s">
        <v>94</v>
      </c>
      <c r="M22" s="148"/>
      <c r="N22" s="211" t="s">
        <v>123</v>
      </c>
      <c r="O22" s="96">
        <v>0.75900000000000001</v>
      </c>
      <c r="P22" s="179">
        <v>0</v>
      </c>
      <c r="Q22" s="119" t="s">
        <v>15</v>
      </c>
      <c r="R22" s="119" t="s">
        <v>15</v>
      </c>
      <c r="S22" s="179">
        <v>2222</v>
      </c>
      <c r="T22" s="311">
        <v>0.1</v>
      </c>
      <c r="U22" s="311"/>
      <c r="V22" s="119" t="s">
        <v>15</v>
      </c>
      <c r="W22" s="119" t="s">
        <v>15</v>
      </c>
      <c r="X22" s="183">
        <v>10.62</v>
      </c>
      <c r="Y22" s="107">
        <v>0.9</v>
      </c>
      <c r="Z22" s="128" t="s">
        <v>137</v>
      </c>
      <c r="AA22" s="128" t="s">
        <v>137</v>
      </c>
      <c r="AB22" s="128"/>
      <c r="AC22" s="179">
        <v>0.32</v>
      </c>
      <c r="AD22" s="179">
        <v>2.46</v>
      </c>
      <c r="AE22" s="126">
        <f>441/4.5/12/4</f>
        <v>2.0416666666666665</v>
      </c>
      <c r="AF22" s="119" t="s">
        <v>82</v>
      </c>
      <c r="AG22" s="119"/>
      <c r="AH22" s="119" t="s">
        <v>82</v>
      </c>
      <c r="AI22" s="304">
        <v>6.75</v>
      </c>
      <c r="AJ22" s="305"/>
      <c r="AK22" s="90">
        <v>1111</v>
      </c>
      <c r="AL22" s="306">
        <f>T22*AI22</f>
        <v>0.67500000000000004</v>
      </c>
      <c r="AM22" s="307"/>
      <c r="AN22" s="190">
        <f>AC22*AI22</f>
        <v>2.16</v>
      </c>
      <c r="AO22" s="190">
        <f>AD22*AI22</f>
        <v>16.605</v>
      </c>
      <c r="AP22" s="113">
        <f>S22*AI22</f>
        <v>14998.5</v>
      </c>
      <c r="AQ22" s="181">
        <f>AP22/I3</f>
        <v>0.99990000000000001</v>
      </c>
      <c r="AR22" s="181"/>
      <c r="AS22" s="181" t="s">
        <v>82</v>
      </c>
      <c r="AT22" s="308">
        <f>H19/(AL22*100)</f>
        <v>444.44444444444446</v>
      </c>
      <c r="AU22" s="309"/>
      <c r="AV22" s="309">
        <f>AP22/(AL22*100)</f>
        <v>222.2</v>
      </c>
      <c r="AW22" s="309"/>
      <c r="AX22" s="310">
        <f>H19/AT22/100</f>
        <v>0.67500000000000004</v>
      </c>
      <c r="AY22" s="310"/>
      <c r="AZ22" s="280">
        <f>AT22/H19</f>
        <v>1.4814814814814815E-2</v>
      </c>
      <c r="BA22" s="280"/>
      <c r="BB22" s="181"/>
      <c r="BC22" s="240" t="s">
        <v>82</v>
      </c>
      <c r="BD22" s="196" t="s">
        <v>82</v>
      </c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</row>
    <row r="23" spans="1:77" s="178" customFormat="1" ht="15.75" customHeight="1" x14ac:dyDescent="0.3">
      <c r="A23" s="278"/>
      <c r="B23" s="282"/>
      <c r="C23" s="282"/>
      <c r="D23" s="285"/>
      <c r="E23" s="288"/>
      <c r="F23" s="135"/>
      <c r="G23" s="291"/>
      <c r="H23" s="134">
        <f t="shared" si="11"/>
        <v>30000</v>
      </c>
      <c r="I23" s="274"/>
      <c r="J23" s="294"/>
      <c r="K23" s="91"/>
      <c r="L23" s="177"/>
      <c r="AB23" s="246"/>
      <c r="AI23" s="177"/>
      <c r="AL23" s="194"/>
      <c r="AM23" s="236"/>
      <c r="AP23" s="218"/>
      <c r="AT23" s="177"/>
      <c r="BD23" s="94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</row>
    <row r="24" spans="1:77" s="189" customFormat="1" ht="15.75" customHeight="1" thickBot="1" x14ac:dyDescent="0.35">
      <c r="A24" s="279"/>
      <c r="B24" s="283"/>
      <c r="C24" s="283"/>
      <c r="D24" s="286"/>
      <c r="E24" s="289"/>
      <c r="F24" s="229"/>
      <c r="G24" s="292"/>
      <c r="H24" s="230">
        <f t="shared" si="11"/>
        <v>30000</v>
      </c>
      <c r="I24" s="276"/>
      <c r="J24" s="295"/>
      <c r="K24" s="231"/>
      <c r="L24" s="188"/>
      <c r="P24" s="180"/>
      <c r="Q24" s="180"/>
      <c r="R24" s="180"/>
      <c r="S24" s="232"/>
      <c r="T24" s="180"/>
      <c r="U24" s="180"/>
      <c r="V24" s="180"/>
      <c r="W24" s="180"/>
      <c r="X24" s="184"/>
      <c r="Y24" s="115"/>
      <c r="Z24" s="233"/>
      <c r="AA24" s="233"/>
      <c r="AB24" s="233"/>
      <c r="AC24" s="180"/>
      <c r="AD24" s="180"/>
      <c r="AE24" s="186"/>
      <c r="AF24" s="180"/>
      <c r="AG24" s="180"/>
      <c r="AH24" s="180"/>
      <c r="AI24" s="191"/>
      <c r="AJ24" s="192"/>
      <c r="AK24" s="92"/>
      <c r="AL24" s="109"/>
      <c r="AM24" s="237"/>
      <c r="AN24" s="192"/>
      <c r="AO24" s="192"/>
      <c r="AP24" s="215"/>
      <c r="AQ24" s="182"/>
      <c r="AR24" s="182"/>
      <c r="AS24" s="182"/>
      <c r="AT24" s="177"/>
      <c r="AU24" s="178"/>
      <c r="AV24" s="178"/>
      <c r="AW24" s="178"/>
      <c r="AX24" s="178"/>
      <c r="AY24" s="178"/>
      <c r="AZ24" s="181"/>
      <c r="BA24" s="181"/>
      <c r="BB24" s="181"/>
      <c r="BC24" s="181"/>
      <c r="BD24" s="196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</row>
    <row r="25" spans="1:77" ht="15.75" customHeight="1" x14ac:dyDescent="0.3"/>
    <row r="26" spans="1:77" ht="15.75" customHeight="1" x14ac:dyDescent="0.3"/>
    <row r="27" spans="1:77" ht="15.75" customHeight="1" x14ac:dyDescent="0.3"/>
    <row r="28" spans="1:77" ht="15.75" customHeight="1" x14ac:dyDescent="0.3"/>
    <row r="29" spans="1:77" ht="15.75" customHeight="1" x14ac:dyDescent="0.3"/>
    <row r="30" spans="1:77" ht="15.75" customHeight="1" x14ac:dyDescent="0.3"/>
    <row r="31" spans="1:77" ht="15.75" customHeight="1" x14ac:dyDescent="0.3"/>
    <row r="32" spans="1:7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048526" spans="1:1" x14ac:dyDescent="0.3">
      <c r="A1048526" s="272"/>
    </row>
  </sheetData>
  <mergeCells count="105">
    <mergeCell ref="T22:U22"/>
    <mergeCell ref="AI22:AJ22"/>
    <mergeCell ref="AL22:AM22"/>
    <mergeCell ref="AT22:AU22"/>
    <mergeCell ref="AV22:AW22"/>
    <mergeCell ref="AX22:AY22"/>
    <mergeCell ref="AZ22:BA22"/>
    <mergeCell ref="AI1:AS1"/>
    <mergeCell ref="AT1:BD1"/>
    <mergeCell ref="L1:AH1"/>
    <mergeCell ref="AZ17:BA17"/>
    <mergeCell ref="T18:U18"/>
    <mergeCell ref="AI18:AJ18"/>
    <mergeCell ref="AL18:AM18"/>
    <mergeCell ref="AT18:AU18"/>
    <mergeCell ref="AV18:AW18"/>
    <mergeCell ref="AX18:AY18"/>
    <mergeCell ref="AZ18:BA18"/>
    <mergeCell ref="T19:U19"/>
    <mergeCell ref="AI19:AJ19"/>
    <mergeCell ref="AL19:AM19"/>
    <mergeCell ref="AT19:AU19"/>
    <mergeCell ref="AV19:AW19"/>
    <mergeCell ref="AX19:AY19"/>
    <mergeCell ref="AZ16:BA16"/>
    <mergeCell ref="AZ19:BA19"/>
    <mergeCell ref="AI20:AJ20"/>
    <mergeCell ref="T17:U17"/>
    <mergeCell ref="AI17:AJ17"/>
    <mergeCell ref="AI8:AJ8"/>
    <mergeCell ref="AI9:AJ9"/>
    <mergeCell ref="T10:U10"/>
    <mergeCell ref="AI10:AJ10"/>
    <mergeCell ref="AL10:AM10"/>
    <mergeCell ref="AT10:AU10"/>
    <mergeCell ref="AV10:AW10"/>
    <mergeCell ref="AX10:AY10"/>
    <mergeCell ref="AZ10:BA10"/>
    <mergeCell ref="T11:U11"/>
    <mergeCell ref="AI11:AJ11"/>
    <mergeCell ref="AL11:AM11"/>
    <mergeCell ref="AT11:AU11"/>
    <mergeCell ref="AV11:AW11"/>
    <mergeCell ref="AX11:AY11"/>
    <mergeCell ref="AZ11:BA11"/>
    <mergeCell ref="AI12:AJ12"/>
    <mergeCell ref="T13:U13"/>
    <mergeCell ref="AI15:AJ15"/>
    <mergeCell ref="AZ3:BA3"/>
    <mergeCell ref="AI13:AJ13"/>
    <mergeCell ref="T7:U7"/>
    <mergeCell ref="AI7:AJ7"/>
    <mergeCell ref="AL7:AM7"/>
    <mergeCell ref="AT7:AU7"/>
    <mergeCell ref="AV7:AW7"/>
    <mergeCell ref="AX7:AY7"/>
    <mergeCell ref="AZ7:BA7"/>
    <mergeCell ref="AL13:AM13"/>
    <mergeCell ref="AT13:AU13"/>
    <mergeCell ref="AV13:AW13"/>
    <mergeCell ref="AX13:AY13"/>
    <mergeCell ref="AZ13:BA13"/>
    <mergeCell ref="AZ4:BA4"/>
    <mergeCell ref="T5:U5"/>
    <mergeCell ref="AI5:AJ5"/>
    <mergeCell ref="AL5:AM5"/>
    <mergeCell ref="AT5:AU5"/>
    <mergeCell ref="AV5:AW5"/>
    <mergeCell ref="AX5:AY5"/>
    <mergeCell ref="AZ5:BA5"/>
    <mergeCell ref="AI6:AJ6"/>
    <mergeCell ref="J3:J24"/>
    <mergeCell ref="T3:U3"/>
    <mergeCell ref="AI3:AJ3"/>
    <mergeCell ref="AL3:AM3"/>
    <mergeCell ref="AT3:AU3"/>
    <mergeCell ref="AV3:AW3"/>
    <mergeCell ref="AX3:AY3"/>
    <mergeCell ref="AI14:AJ14"/>
    <mergeCell ref="T4:U4"/>
    <mergeCell ref="AI4:AJ4"/>
    <mergeCell ref="AL4:AM4"/>
    <mergeCell ref="AT4:AU4"/>
    <mergeCell ref="AV4:AW4"/>
    <mergeCell ref="AX4:AY4"/>
    <mergeCell ref="AI16:AJ16"/>
    <mergeCell ref="AL16:AM16"/>
    <mergeCell ref="AT16:AU16"/>
    <mergeCell ref="AV16:AW16"/>
    <mergeCell ref="AX16:AY16"/>
    <mergeCell ref="AL17:AM17"/>
    <mergeCell ref="AT17:AU17"/>
    <mergeCell ref="AV17:AW17"/>
    <mergeCell ref="AX17:AY17"/>
    <mergeCell ref="AI21:AJ21"/>
    <mergeCell ref="I3:I12"/>
    <mergeCell ref="I13:I24"/>
    <mergeCell ref="A3:A24"/>
    <mergeCell ref="B3:B24"/>
    <mergeCell ref="C3:C24"/>
    <mergeCell ref="D3:D24"/>
    <mergeCell ref="E3:E24"/>
    <mergeCell ref="G3:G24"/>
    <mergeCell ref="F3:F12"/>
    <mergeCell ref="F13:F22"/>
  </mergeCells>
  <conditionalFormatting sqref="D3">
    <cfRule type="cellIs" dxfId="1" priority="7" operator="lessThan">
      <formula>0</formula>
    </cfRule>
    <cfRule type="cellIs" dxfId="0" priority="8" operator="greaterThan">
      <formula>0</formula>
    </cfRule>
  </conditionalFormatting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4.44140625" defaultRowHeight="15" customHeight="1" x14ac:dyDescent="0.3"/>
  <cols>
    <col min="1" max="1" width="11.6640625" customWidth="1"/>
    <col min="2" max="2" width="46.5546875" customWidth="1"/>
    <col min="3" max="3" width="14" customWidth="1"/>
    <col min="4" max="4" width="85" customWidth="1"/>
    <col min="5" max="5" width="15.44140625" customWidth="1"/>
    <col min="6" max="6" width="14.44140625" customWidth="1"/>
  </cols>
  <sheetData>
    <row r="1" spans="1:26" ht="28.8" x14ac:dyDescent="0.3">
      <c r="A1" s="4" t="s">
        <v>5</v>
      </c>
      <c r="B1" s="5"/>
      <c r="C1" s="6" t="s">
        <v>6</v>
      </c>
      <c r="D1" s="7" t="s">
        <v>7</v>
      </c>
      <c r="E1" s="8" t="s">
        <v>8</v>
      </c>
      <c r="F1" s="9" t="s">
        <v>9</v>
      </c>
      <c r="G1" s="9" t="s">
        <v>10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10"/>
      <c r="Z1" s="1"/>
    </row>
    <row r="2" spans="1:26" ht="14.4" x14ac:dyDescent="0.3">
      <c r="A2" s="11" t="s">
        <v>11</v>
      </c>
      <c r="B2" s="12" t="s">
        <v>12</v>
      </c>
      <c r="C2" s="3"/>
      <c r="D2" s="13"/>
      <c r="E2" s="8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5"/>
      <c r="Z2" s="15"/>
    </row>
    <row r="3" spans="1:26" ht="28.8" x14ac:dyDescent="0.3">
      <c r="A3" s="16" t="s">
        <v>13</v>
      </c>
      <c r="B3" s="17" t="s">
        <v>14</v>
      </c>
      <c r="C3" s="3" t="s">
        <v>15</v>
      </c>
      <c r="D3" s="18" t="s">
        <v>15</v>
      </c>
      <c r="E3" s="8" t="s">
        <v>16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20"/>
      <c r="Z3" s="20"/>
    </row>
    <row r="4" spans="1:26" ht="14.4" x14ac:dyDescent="0.3">
      <c r="A4" s="21"/>
      <c r="B4" s="12" t="s">
        <v>17</v>
      </c>
      <c r="C4" s="3" t="s">
        <v>18</v>
      </c>
      <c r="D4" s="13" t="s">
        <v>19</v>
      </c>
      <c r="E4" s="8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</row>
    <row r="5" spans="1:26" ht="14.4" x14ac:dyDescent="0.3">
      <c r="A5" s="22"/>
      <c r="B5" s="23" t="s">
        <v>2</v>
      </c>
      <c r="C5" s="3"/>
      <c r="D5" s="24"/>
      <c r="E5" s="8">
        <v>10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25"/>
      <c r="Z5" s="25"/>
    </row>
    <row r="6" spans="1:26" ht="14.4" x14ac:dyDescent="0.3">
      <c r="A6" s="22"/>
      <c r="B6" s="23" t="s">
        <v>20</v>
      </c>
      <c r="C6" s="3"/>
      <c r="D6" s="24"/>
      <c r="E6" s="8">
        <v>0.2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25"/>
      <c r="Z6" s="25"/>
    </row>
    <row r="7" spans="1:26" ht="14.4" x14ac:dyDescent="0.3">
      <c r="A7" s="22"/>
      <c r="B7" s="23" t="s">
        <v>21</v>
      </c>
      <c r="C7" s="3"/>
      <c r="D7" s="24"/>
      <c r="E7" s="8">
        <v>27000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25"/>
      <c r="Z7" s="25"/>
    </row>
    <row r="8" spans="1:26" ht="28.8" x14ac:dyDescent="0.3">
      <c r="A8" s="26"/>
      <c r="B8" s="17"/>
      <c r="C8" s="27" t="s">
        <v>22</v>
      </c>
      <c r="D8" s="18" t="s">
        <v>23</v>
      </c>
      <c r="E8" s="8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20"/>
      <c r="Z8" s="20"/>
    </row>
    <row r="9" spans="1:26" ht="14.4" x14ac:dyDescent="0.3">
      <c r="A9" s="11"/>
      <c r="B9" s="12" t="s">
        <v>24</v>
      </c>
      <c r="C9" s="3"/>
      <c r="D9" s="13"/>
      <c r="E9" s="8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</row>
    <row r="10" spans="1:26" ht="14.4" x14ac:dyDescent="0.3">
      <c r="A10" s="22"/>
      <c r="B10" s="23" t="s">
        <v>3</v>
      </c>
      <c r="C10" s="3"/>
      <c r="D10" s="24"/>
      <c r="E10" s="8">
        <v>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5"/>
      <c r="Z10" s="25"/>
    </row>
    <row r="11" spans="1:26" ht="14.4" x14ac:dyDescent="0.3">
      <c r="A11" s="22"/>
      <c r="B11" s="23" t="s">
        <v>4</v>
      </c>
      <c r="C11" s="3"/>
      <c r="D11" s="24"/>
      <c r="E11" s="8">
        <v>2.1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25"/>
      <c r="Z11" s="25"/>
    </row>
    <row r="12" spans="1:26" ht="28.8" x14ac:dyDescent="0.3">
      <c r="A12" s="28"/>
      <c r="B12" s="23" t="s">
        <v>25</v>
      </c>
      <c r="C12" s="29"/>
      <c r="D12" s="24"/>
      <c r="E12" s="8" t="s">
        <v>26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25"/>
      <c r="Z12" s="25"/>
    </row>
    <row r="13" spans="1:26" ht="28.8" x14ac:dyDescent="0.3">
      <c r="A13" s="22"/>
      <c r="B13" s="23" t="s">
        <v>27</v>
      </c>
      <c r="C13" s="29"/>
      <c r="D13" s="24"/>
      <c r="E13" s="8" t="s">
        <v>28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25"/>
      <c r="Z13" s="25"/>
    </row>
    <row r="14" spans="1:26" ht="14.4" x14ac:dyDescent="0.3">
      <c r="A14" s="22"/>
      <c r="B14" s="23" t="s">
        <v>29</v>
      </c>
      <c r="C14" s="3"/>
      <c r="D14" s="24"/>
      <c r="E14" s="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25"/>
      <c r="Z14" s="25"/>
    </row>
    <row r="15" spans="1:26" ht="14.4" x14ac:dyDescent="0.3">
      <c r="A15" s="28"/>
      <c r="B15" s="1"/>
      <c r="C15" s="3"/>
      <c r="D15" s="24"/>
      <c r="E15" s="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25"/>
      <c r="Z15" s="25"/>
    </row>
    <row r="16" spans="1:26" ht="14.4" x14ac:dyDescent="0.3">
      <c r="A16" s="28"/>
      <c r="B16" s="23" t="s">
        <v>1</v>
      </c>
      <c r="C16" s="30" t="s">
        <v>30</v>
      </c>
      <c r="D16" s="24" t="s">
        <v>31</v>
      </c>
      <c r="E16" s="8" t="s">
        <v>32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25"/>
      <c r="Z16" s="25"/>
    </row>
    <row r="17" spans="1:26" ht="28.8" x14ac:dyDescent="0.3">
      <c r="A17" s="28"/>
      <c r="B17" s="23" t="s">
        <v>1</v>
      </c>
      <c r="C17" s="27" t="s">
        <v>33</v>
      </c>
      <c r="D17" s="24" t="s">
        <v>31</v>
      </c>
      <c r="E17" s="8" t="s">
        <v>32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25"/>
      <c r="Z17" s="25"/>
    </row>
    <row r="18" spans="1:26" ht="14.4" x14ac:dyDescent="0.3">
      <c r="A18" s="11"/>
      <c r="B18" s="12" t="s">
        <v>34</v>
      </c>
      <c r="C18" s="27" t="s">
        <v>18</v>
      </c>
      <c r="D18" s="13" t="s">
        <v>35</v>
      </c>
      <c r="E18" s="8" t="s">
        <v>32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5"/>
    </row>
    <row r="19" spans="1:26" ht="14.4" x14ac:dyDescent="0.3">
      <c r="A19" s="28"/>
      <c r="B19" s="23" t="s">
        <v>36</v>
      </c>
      <c r="C19" s="27"/>
      <c r="D19" s="24" t="s">
        <v>37</v>
      </c>
      <c r="E19" s="8" t="s">
        <v>32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25"/>
    </row>
    <row r="20" spans="1:26" ht="28.8" x14ac:dyDescent="0.3">
      <c r="A20" s="16"/>
      <c r="B20" s="31"/>
      <c r="C20" s="27" t="s">
        <v>22</v>
      </c>
      <c r="D20" s="18" t="s">
        <v>38</v>
      </c>
      <c r="E20" s="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</row>
    <row r="21" spans="1:26" ht="15.75" customHeight="1" x14ac:dyDescent="0.3">
      <c r="A21" s="28"/>
      <c r="B21" s="32" t="s">
        <v>39</v>
      </c>
      <c r="C21" s="30" t="s">
        <v>30</v>
      </c>
      <c r="D21" s="24" t="s">
        <v>40</v>
      </c>
      <c r="E21" s="8" t="s">
        <v>32</v>
      </c>
      <c r="F21" s="33">
        <v>1.35</v>
      </c>
      <c r="G21" s="1">
        <f>F21/1.5*100</f>
        <v>90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25"/>
      <c r="Z21" s="25"/>
    </row>
    <row r="22" spans="1:26" ht="15.75" customHeight="1" x14ac:dyDescent="0.3">
      <c r="A22" s="28"/>
      <c r="B22" s="23" t="s">
        <v>1</v>
      </c>
      <c r="C22" s="34" t="s">
        <v>33</v>
      </c>
      <c r="D22" s="13" t="s">
        <v>41</v>
      </c>
      <c r="E22" s="35" t="s">
        <v>32</v>
      </c>
      <c r="F22" s="3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25"/>
      <c r="Z22" s="25"/>
    </row>
    <row r="23" spans="1:26" ht="15.75" customHeight="1" x14ac:dyDescent="0.3">
      <c r="A23" s="11"/>
      <c r="B23" s="12" t="s">
        <v>42</v>
      </c>
      <c r="C23" s="36" t="s">
        <v>30</v>
      </c>
      <c r="D23" s="13" t="s">
        <v>0</v>
      </c>
      <c r="E23" s="37" t="s">
        <v>32</v>
      </c>
      <c r="F23" s="38">
        <v>2.74</v>
      </c>
      <c r="G23" s="14">
        <f>237/1.5</f>
        <v>158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5"/>
    </row>
    <row r="24" spans="1:26" ht="15.75" customHeight="1" x14ac:dyDescent="0.3">
      <c r="A24" s="28"/>
      <c r="B24" s="23" t="s">
        <v>43</v>
      </c>
      <c r="C24" s="1"/>
      <c r="D24" s="2" t="s">
        <v>44</v>
      </c>
      <c r="E24" s="39">
        <v>11000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25"/>
    </row>
    <row r="25" spans="1:26" ht="15.75" customHeight="1" x14ac:dyDescent="0.3">
      <c r="A25" s="28"/>
      <c r="B25" s="32" t="s">
        <v>45</v>
      </c>
      <c r="C25" s="24"/>
      <c r="D25" s="24" t="s">
        <v>38</v>
      </c>
      <c r="E25" s="40" t="s">
        <v>38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25"/>
    </row>
    <row r="26" spans="1:26" ht="15.75" customHeight="1" x14ac:dyDescent="0.3">
      <c r="A26" s="28"/>
      <c r="B26" s="23" t="s">
        <v>46</v>
      </c>
      <c r="C26" s="24"/>
      <c r="D26" s="24" t="s">
        <v>47</v>
      </c>
      <c r="E26" s="41" t="s">
        <v>48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25"/>
    </row>
    <row r="27" spans="1:26" ht="15.75" customHeight="1" x14ac:dyDescent="0.3">
      <c r="A27" s="28"/>
      <c r="B27" s="23" t="s">
        <v>46</v>
      </c>
      <c r="C27" s="24"/>
      <c r="D27" s="24" t="s">
        <v>49</v>
      </c>
      <c r="E27" s="41" t="s">
        <v>48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25"/>
    </row>
    <row r="28" spans="1:26" ht="15.75" customHeight="1" x14ac:dyDescent="0.3">
      <c r="A28" s="28"/>
      <c r="B28" s="23" t="s">
        <v>46</v>
      </c>
      <c r="C28" s="24"/>
      <c r="D28" s="24" t="s">
        <v>50</v>
      </c>
      <c r="E28" s="40" t="s">
        <v>32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25"/>
    </row>
    <row r="29" spans="1:26" ht="15.75" customHeight="1" x14ac:dyDescent="0.3">
      <c r="A29" s="28"/>
      <c r="B29" s="32"/>
      <c r="C29" s="42" t="s">
        <v>33</v>
      </c>
      <c r="D29" s="24" t="s">
        <v>0</v>
      </c>
      <c r="E29" s="43" t="s">
        <v>38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25"/>
    </row>
    <row r="30" spans="1:26" ht="15.75" customHeight="1" x14ac:dyDescent="0.3">
      <c r="A30" s="16"/>
      <c r="B30" s="17" t="s">
        <v>51</v>
      </c>
      <c r="C30" s="18" t="s">
        <v>52</v>
      </c>
      <c r="D30" s="18"/>
      <c r="E30" s="40" t="s">
        <v>32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20"/>
    </row>
    <row r="31" spans="1:26" ht="15.75" customHeight="1" x14ac:dyDescent="0.3">
      <c r="A31" s="319" t="s">
        <v>1</v>
      </c>
      <c r="B31" s="44" t="s">
        <v>53</v>
      </c>
      <c r="C31" s="3"/>
      <c r="D31" s="3"/>
      <c r="E31" s="40" t="s">
        <v>32</v>
      </c>
      <c r="F31" s="29" t="s">
        <v>54</v>
      </c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 x14ac:dyDescent="0.3">
      <c r="A32" s="320"/>
      <c r="B32" s="44" t="s">
        <v>55</v>
      </c>
      <c r="C32" s="3"/>
      <c r="D32" s="3"/>
      <c r="E32" s="40" t="s">
        <v>32</v>
      </c>
      <c r="F32" s="29" t="s">
        <v>54</v>
      </c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 x14ac:dyDescent="0.3">
      <c r="A33" s="22"/>
      <c r="B33" s="23"/>
      <c r="C33" s="29"/>
      <c r="D33" s="1"/>
      <c r="E33" s="29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45"/>
      <c r="B34" s="46"/>
      <c r="C34" s="47"/>
      <c r="D34" s="48"/>
      <c r="E34" s="47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spans="1:26" ht="15.75" customHeight="1" x14ac:dyDescent="0.3">
      <c r="A35" s="22"/>
      <c r="B35" s="23"/>
      <c r="C35" s="29"/>
      <c r="D35" s="1"/>
      <c r="E35" s="49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50" t="s">
        <v>11</v>
      </c>
      <c r="B36" s="51" t="s">
        <v>56</v>
      </c>
      <c r="C36" s="52"/>
      <c r="D36" s="53"/>
      <c r="E36" s="54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6"/>
      <c r="Z36" s="56"/>
    </row>
    <row r="37" spans="1:26" ht="15.75" customHeight="1" x14ac:dyDescent="0.3">
      <c r="A37" s="57" t="s">
        <v>13</v>
      </c>
      <c r="B37" s="58" t="s">
        <v>14</v>
      </c>
      <c r="C37" s="52" t="s">
        <v>15</v>
      </c>
      <c r="D37" s="59" t="s">
        <v>15</v>
      </c>
      <c r="E37" s="54" t="s">
        <v>16</v>
      </c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1"/>
      <c r="Z37" s="61"/>
    </row>
    <row r="38" spans="1:26" ht="15.75" customHeight="1" x14ac:dyDescent="0.3">
      <c r="A38" s="62"/>
      <c r="B38" s="51" t="s">
        <v>17</v>
      </c>
      <c r="C38" s="52" t="s">
        <v>18</v>
      </c>
      <c r="D38" s="53" t="s">
        <v>19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6"/>
      <c r="Z38" s="56"/>
    </row>
    <row r="39" spans="1:26" ht="15.75" customHeight="1" x14ac:dyDescent="0.3">
      <c r="A39" s="63"/>
      <c r="B39" s="64" t="s">
        <v>2</v>
      </c>
      <c r="C39" s="52"/>
      <c r="D39" s="65"/>
      <c r="E39" s="54">
        <v>10</v>
      </c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7"/>
      <c r="Z39" s="67"/>
    </row>
    <row r="40" spans="1:26" ht="15.75" customHeight="1" x14ac:dyDescent="0.3">
      <c r="A40" s="63"/>
      <c r="B40" s="64" t="s">
        <v>20</v>
      </c>
      <c r="C40" s="52"/>
      <c r="D40" s="65"/>
      <c r="E40" s="54">
        <v>0.2</v>
      </c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7"/>
      <c r="Z40" s="67"/>
    </row>
    <row r="41" spans="1:26" ht="15.75" customHeight="1" x14ac:dyDescent="0.3">
      <c r="A41" s="63"/>
      <c r="B41" s="64" t="s">
        <v>21</v>
      </c>
      <c r="C41" s="52"/>
      <c r="D41" s="65"/>
      <c r="E41" s="54">
        <v>27000</v>
      </c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7"/>
      <c r="Z41" s="67"/>
    </row>
    <row r="42" spans="1:26" ht="15.75" customHeight="1" x14ac:dyDescent="0.3">
      <c r="A42" s="68"/>
      <c r="B42" s="58"/>
      <c r="C42" s="69" t="s">
        <v>22</v>
      </c>
      <c r="D42" s="59" t="s">
        <v>23</v>
      </c>
      <c r="E42" s="54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1"/>
      <c r="Z42" s="61"/>
    </row>
    <row r="43" spans="1:26" ht="15.75" customHeight="1" x14ac:dyDescent="0.3">
      <c r="A43" s="50"/>
      <c r="B43" s="51" t="s">
        <v>24</v>
      </c>
      <c r="C43" s="52"/>
      <c r="D43" s="53"/>
      <c r="E43" s="54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6"/>
      <c r="Z43" s="56"/>
    </row>
    <row r="44" spans="1:26" ht="15.75" customHeight="1" x14ac:dyDescent="0.3">
      <c r="A44" s="63"/>
      <c r="B44" s="64" t="s">
        <v>3</v>
      </c>
      <c r="C44" s="52"/>
      <c r="D44" s="65"/>
      <c r="E44" s="54">
        <v>2</v>
      </c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7"/>
      <c r="Z44" s="67"/>
    </row>
    <row r="45" spans="1:26" ht="15.75" customHeight="1" x14ac:dyDescent="0.3">
      <c r="A45" s="63"/>
      <c r="B45" s="64" t="s">
        <v>4</v>
      </c>
      <c r="C45" s="52"/>
      <c r="D45" s="65"/>
      <c r="E45" s="54">
        <v>2.1</v>
      </c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7"/>
      <c r="Z45" s="67"/>
    </row>
    <row r="46" spans="1:26" ht="15.75" customHeight="1" x14ac:dyDescent="0.3">
      <c r="A46" s="70"/>
      <c r="B46" s="64" t="s">
        <v>25</v>
      </c>
      <c r="C46" s="71"/>
      <c r="D46" s="65"/>
      <c r="E46" s="54" t="s">
        <v>26</v>
      </c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7"/>
      <c r="Z46" s="67"/>
    </row>
    <row r="47" spans="1:26" ht="15.75" customHeight="1" x14ac:dyDescent="0.3">
      <c r="A47" s="63"/>
      <c r="B47" s="64" t="s">
        <v>27</v>
      </c>
      <c r="C47" s="71"/>
      <c r="D47" s="65"/>
      <c r="E47" s="54" t="s">
        <v>28</v>
      </c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7"/>
      <c r="Z47" s="67"/>
    </row>
    <row r="48" spans="1:26" ht="15.75" customHeight="1" x14ac:dyDescent="0.3">
      <c r="A48" s="63"/>
      <c r="B48" s="64" t="s">
        <v>29</v>
      </c>
      <c r="C48" s="52"/>
      <c r="D48" s="65"/>
      <c r="E48" s="54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7"/>
      <c r="Z48" s="67"/>
    </row>
    <row r="49" spans="1:26" ht="15.75" customHeight="1" x14ac:dyDescent="0.3">
      <c r="A49" s="70"/>
      <c r="B49" s="66"/>
      <c r="C49" s="52"/>
      <c r="D49" s="65"/>
      <c r="E49" s="54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7"/>
      <c r="Z49" s="67"/>
    </row>
    <row r="50" spans="1:26" ht="15.75" customHeight="1" x14ac:dyDescent="0.3">
      <c r="A50" s="70"/>
      <c r="B50" s="64" t="s">
        <v>1</v>
      </c>
      <c r="C50" s="72" t="s">
        <v>30</v>
      </c>
      <c r="D50" s="65" t="s">
        <v>31</v>
      </c>
      <c r="E50" s="54" t="s">
        <v>32</v>
      </c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7"/>
      <c r="Z50" s="67"/>
    </row>
    <row r="51" spans="1:26" ht="15.75" customHeight="1" x14ac:dyDescent="0.3">
      <c r="A51" s="70"/>
      <c r="B51" s="64" t="s">
        <v>1</v>
      </c>
      <c r="C51" s="69" t="s">
        <v>33</v>
      </c>
      <c r="D51" s="65" t="s">
        <v>31</v>
      </c>
      <c r="E51" s="54" t="s">
        <v>32</v>
      </c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7"/>
      <c r="Z51" s="67"/>
    </row>
    <row r="52" spans="1:26" ht="15.75" customHeight="1" x14ac:dyDescent="0.3">
      <c r="A52" s="50"/>
      <c r="B52" s="51" t="s">
        <v>34</v>
      </c>
      <c r="C52" s="69" t="s">
        <v>18</v>
      </c>
      <c r="D52" s="53" t="s">
        <v>35</v>
      </c>
      <c r="E52" s="54" t="s">
        <v>32</v>
      </c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6"/>
    </row>
    <row r="53" spans="1:26" ht="15.75" customHeight="1" x14ac:dyDescent="0.3">
      <c r="A53" s="70"/>
      <c r="B53" s="64" t="s">
        <v>36</v>
      </c>
      <c r="C53" s="69"/>
      <c r="D53" s="65" t="s">
        <v>37</v>
      </c>
      <c r="E53" s="54" t="s">
        <v>32</v>
      </c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7"/>
    </row>
    <row r="54" spans="1:26" ht="15.75" customHeight="1" x14ac:dyDescent="0.3">
      <c r="A54" s="57"/>
      <c r="B54" s="73"/>
      <c r="C54" s="69" t="s">
        <v>22</v>
      </c>
      <c r="D54" s="59" t="s">
        <v>38</v>
      </c>
      <c r="E54" s="54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1"/>
    </row>
    <row r="55" spans="1:26" ht="15.75" customHeight="1" x14ac:dyDescent="0.3">
      <c r="A55" s="70"/>
      <c r="B55" s="74" t="s">
        <v>39</v>
      </c>
      <c r="C55" s="72" t="s">
        <v>30</v>
      </c>
      <c r="D55" s="65" t="s">
        <v>40</v>
      </c>
      <c r="E55" s="54" t="s">
        <v>32</v>
      </c>
      <c r="F55" s="75">
        <v>1.35</v>
      </c>
      <c r="G55" s="66">
        <f>F55/1.5*100</f>
        <v>90</v>
      </c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7"/>
      <c r="Z55" s="67"/>
    </row>
    <row r="56" spans="1:26" ht="15.75" customHeight="1" x14ac:dyDescent="0.3">
      <c r="A56" s="70"/>
      <c r="B56" s="64" t="s">
        <v>1</v>
      </c>
      <c r="C56" s="76" t="s">
        <v>33</v>
      </c>
      <c r="D56" s="53" t="s">
        <v>41</v>
      </c>
      <c r="E56" s="77" t="s">
        <v>32</v>
      </c>
      <c r="F56" s="75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7"/>
      <c r="Z56" s="67"/>
    </row>
    <row r="57" spans="1:26" ht="15.75" customHeight="1" x14ac:dyDescent="0.3">
      <c r="A57" s="50"/>
      <c r="B57" s="51" t="s">
        <v>42</v>
      </c>
      <c r="C57" s="78" t="s">
        <v>30</v>
      </c>
      <c r="D57" s="53" t="s">
        <v>0</v>
      </c>
      <c r="E57" s="79" t="s">
        <v>32</v>
      </c>
      <c r="F57" s="80">
        <v>2.74</v>
      </c>
      <c r="G57" s="55">
        <f>237/1.5</f>
        <v>158</v>
      </c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15.75" customHeight="1" x14ac:dyDescent="0.3">
      <c r="A58" s="70"/>
      <c r="B58" s="64" t="s">
        <v>43</v>
      </c>
      <c r="C58" s="66"/>
      <c r="D58" s="81" t="s">
        <v>44</v>
      </c>
      <c r="E58" s="82">
        <v>11000</v>
      </c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7"/>
    </row>
    <row r="59" spans="1:26" ht="15.75" customHeight="1" x14ac:dyDescent="0.3">
      <c r="A59" s="70"/>
      <c r="B59" s="74" t="s">
        <v>45</v>
      </c>
      <c r="C59" s="65"/>
      <c r="D59" s="65" t="s">
        <v>38</v>
      </c>
      <c r="E59" s="83" t="s">
        <v>38</v>
      </c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7"/>
    </row>
    <row r="60" spans="1:26" ht="15.75" customHeight="1" x14ac:dyDescent="0.3">
      <c r="A60" s="70"/>
      <c r="B60" s="64" t="s">
        <v>46</v>
      </c>
      <c r="C60" s="65"/>
      <c r="D60" s="65" t="s">
        <v>47</v>
      </c>
      <c r="E60" s="84" t="s">
        <v>48</v>
      </c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7"/>
    </row>
    <row r="61" spans="1:26" ht="15.75" customHeight="1" x14ac:dyDescent="0.3">
      <c r="A61" s="70"/>
      <c r="B61" s="64" t="s">
        <v>46</v>
      </c>
      <c r="C61" s="65"/>
      <c r="D61" s="65" t="s">
        <v>49</v>
      </c>
      <c r="E61" s="84" t="s">
        <v>48</v>
      </c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7"/>
    </row>
    <row r="62" spans="1:26" ht="15.75" customHeight="1" x14ac:dyDescent="0.3">
      <c r="A62" s="70"/>
      <c r="B62" s="64" t="s">
        <v>46</v>
      </c>
      <c r="C62" s="65"/>
      <c r="D62" s="65" t="s">
        <v>50</v>
      </c>
      <c r="E62" s="83" t="s">
        <v>32</v>
      </c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7"/>
    </row>
    <row r="63" spans="1:26" ht="15.75" customHeight="1" x14ac:dyDescent="0.3">
      <c r="A63" s="70"/>
      <c r="B63" s="74"/>
      <c r="C63" s="85" t="s">
        <v>33</v>
      </c>
      <c r="D63" s="65" t="s">
        <v>0</v>
      </c>
      <c r="E63" s="86" t="s">
        <v>38</v>
      </c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7"/>
    </row>
    <row r="64" spans="1:26" ht="15.75" customHeight="1" x14ac:dyDescent="0.3">
      <c r="A64" s="57"/>
      <c r="B64" s="58" t="s">
        <v>51</v>
      </c>
      <c r="C64" s="59" t="s">
        <v>52</v>
      </c>
      <c r="D64" s="59"/>
      <c r="E64" s="83" t="s">
        <v>32</v>
      </c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1"/>
    </row>
    <row r="65" spans="1:26" ht="15.75" customHeight="1" x14ac:dyDescent="0.3">
      <c r="A65" s="52" t="s">
        <v>57</v>
      </c>
      <c r="B65" s="87" t="s">
        <v>58</v>
      </c>
      <c r="C65" s="72" t="s">
        <v>30</v>
      </c>
      <c r="D65" s="52" t="s">
        <v>59</v>
      </c>
      <c r="E65" s="83" t="s">
        <v>32</v>
      </c>
      <c r="F65" s="71">
        <v>58.5</v>
      </c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</row>
    <row r="66" spans="1:26" ht="15.75" customHeight="1" x14ac:dyDescent="0.3">
      <c r="A66" s="52" t="s">
        <v>60</v>
      </c>
      <c r="B66" s="87" t="s">
        <v>61</v>
      </c>
      <c r="C66" s="72" t="s">
        <v>30</v>
      </c>
      <c r="D66" s="52" t="s">
        <v>62</v>
      </c>
      <c r="E66" s="83" t="s">
        <v>32</v>
      </c>
      <c r="F66" s="71">
        <v>47</v>
      </c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</row>
    <row r="67" spans="1:26" ht="15.75" customHeight="1" x14ac:dyDescent="0.3">
      <c r="A67" s="321" t="s">
        <v>63</v>
      </c>
      <c r="B67" s="87" t="s">
        <v>64</v>
      </c>
      <c r="C67" s="52"/>
      <c r="D67" s="52"/>
      <c r="E67" s="83" t="s">
        <v>32</v>
      </c>
      <c r="F67" s="71" t="s">
        <v>54</v>
      </c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</row>
    <row r="68" spans="1:26" ht="15.75" customHeight="1" x14ac:dyDescent="0.3">
      <c r="A68" s="320"/>
      <c r="B68" s="87" t="s">
        <v>65</v>
      </c>
      <c r="C68" s="52"/>
      <c r="D68" s="52"/>
      <c r="E68" s="83" t="s">
        <v>32</v>
      </c>
      <c r="F68" s="71" t="s">
        <v>54</v>
      </c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</row>
    <row r="69" spans="1:26" ht="15.75" customHeight="1" x14ac:dyDescent="0.3">
      <c r="A69" s="63"/>
      <c r="B69" s="64"/>
      <c r="C69" s="71"/>
      <c r="D69" s="66"/>
      <c r="E69" s="71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3">
      <c r="A70" s="63"/>
      <c r="B70" s="64"/>
      <c r="C70" s="71"/>
      <c r="D70" s="66"/>
      <c r="E70" s="88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3">
      <c r="A71" s="22"/>
      <c r="B71" s="23"/>
      <c r="C71" s="29"/>
      <c r="D71" s="1"/>
      <c r="E71" s="49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22"/>
      <c r="B72" s="23"/>
      <c r="C72" s="29"/>
      <c r="D72" s="1"/>
      <c r="E72" s="49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22"/>
      <c r="B73" s="23"/>
      <c r="C73" s="29"/>
      <c r="D73" s="1"/>
      <c r="E73" s="49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22"/>
      <c r="B74" s="23"/>
      <c r="C74" s="29"/>
      <c r="D74" s="1"/>
      <c r="E74" s="49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22"/>
      <c r="B75" s="23"/>
      <c r="C75" s="29"/>
      <c r="D75" s="1"/>
      <c r="E75" s="49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22"/>
      <c r="B76" s="23"/>
      <c r="C76" s="29"/>
      <c r="D76" s="1"/>
      <c r="E76" s="49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22"/>
      <c r="B77" s="23"/>
      <c r="C77" s="29"/>
      <c r="D77" s="1"/>
      <c r="E77" s="49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22"/>
      <c r="B78" s="23"/>
      <c r="C78" s="29"/>
      <c r="D78" s="1"/>
      <c r="E78" s="49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22"/>
      <c r="B79" s="23"/>
      <c r="C79" s="29"/>
      <c r="D79" s="1"/>
      <c r="E79" s="49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22"/>
      <c r="B80" s="23"/>
      <c r="C80" s="29"/>
      <c r="D80" s="1"/>
      <c r="E80" s="49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22"/>
      <c r="B81" s="23"/>
      <c r="C81" s="29"/>
      <c r="D81" s="1"/>
      <c r="E81" s="49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22"/>
      <c r="B82" s="23"/>
      <c r="C82" s="29"/>
      <c r="D82" s="1"/>
      <c r="E82" s="49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22"/>
      <c r="B83" s="23"/>
      <c r="C83" s="29"/>
      <c r="D83" s="1"/>
      <c r="E83" s="49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22"/>
      <c r="B84" s="23"/>
      <c r="C84" s="29"/>
      <c r="D84" s="1"/>
      <c r="E84" s="49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22"/>
      <c r="B85" s="23"/>
      <c r="C85" s="29"/>
      <c r="D85" s="1"/>
      <c r="E85" s="49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22"/>
      <c r="B86" s="23"/>
      <c r="C86" s="29"/>
      <c r="D86" s="1"/>
      <c r="E86" s="49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22"/>
      <c r="B87" s="23"/>
      <c r="C87" s="29"/>
      <c r="D87" s="1"/>
      <c r="E87" s="49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22"/>
      <c r="B88" s="23"/>
      <c r="C88" s="29"/>
      <c r="D88" s="1"/>
      <c r="E88" s="49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22"/>
      <c r="B89" s="23"/>
      <c r="C89" s="29"/>
      <c r="D89" s="1"/>
      <c r="E89" s="49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22"/>
      <c r="B90" s="23"/>
      <c r="C90" s="29"/>
      <c r="D90" s="1"/>
      <c r="E90" s="49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22"/>
      <c r="B91" s="23"/>
      <c r="C91" s="29"/>
      <c r="D91" s="1"/>
      <c r="E91" s="49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22"/>
      <c r="B92" s="23"/>
      <c r="C92" s="29"/>
      <c r="D92" s="1"/>
      <c r="E92" s="49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22"/>
      <c r="B93" s="23"/>
      <c r="C93" s="29"/>
      <c r="D93" s="1"/>
      <c r="E93" s="49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22"/>
      <c r="B94" s="23"/>
      <c r="C94" s="29"/>
      <c r="D94" s="1"/>
      <c r="E94" s="49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22"/>
      <c r="B95" s="23"/>
      <c r="C95" s="29"/>
      <c r="D95" s="1"/>
      <c r="E95" s="49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22"/>
      <c r="B96" s="23"/>
      <c r="C96" s="29"/>
      <c r="D96" s="1"/>
      <c r="E96" s="49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22"/>
      <c r="B97" s="23"/>
      <c r="C97" s="29"/>
      <c r="D97" s="1"/>
      <c r="E97" s="49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22"/>
      <c r="B98" s="23"/>
      <c r="C98" s="29"/>
      <c r="D98" s="1"/>
      <c r="E98" s="49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22"/>
      <c r="B99" s="23"/>
      <c r="C99" s="29"/>
      <c r="D99" s="1"/>
      <c r="E99" s="49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22"/>
      <c r="B100" s="23"/>
      <c r="C100" s="29"/>
      <c r="D100" s="1"/>
      <c r="E100" s="49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22"/>
      <c r="B101" s="23"/>
      <c r="C101" s="29"/>
      <c r="D101" s="1"/>
      <c r="E101" s="49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22"/>
      <c r="B102" s="23"/>
      <c r="C102" s="29"/>
      <c r="D102" s="1"/>
      <c r="E102" s="49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22"/>
      <c r="B103" s="23"/>
      <c r="C103" s="29"/>
      <c r="D103" s="1"/>
      <c r="E103" s="49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22"/>
      <c r="B104" s="23"/>
      <c r="C104" s="29"/>
      <c r="D104" s="1"/>
      <c r="E104" s="49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22"/>
      <c r="B105" s="23"/>
      <c r="C105" s="29"/>
      <c r="D105" s="1"/>
      <c r="E105" s="49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22"/>
      <c r="B106" s="23"/>
      <c r="C106" s="29"/>
      <c r="D106" s="1"/>
      <c r="E106" s="49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22"/>
      <c r="B107" s="23"/>
      <c r="C107" s="29"/>
      <c r="D107" s="1"/>
      <c r="E107" s="49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22"/>
      <c r="B108" s="23"/>
      <c r="C108" s="29"/>
      <c r="D108" s="1"/>
      <c r="E108" s="49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22"/>
      <c r="B109" s="23"/>
      <c r="C109" s="29"/>
      <c r="D109" s="1"/>
      <c r="E109" s="49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22"/>
      <c r="B110" s="23"/>
      <c r="C110" s="29"/>
      <c r="D110" s="1"/>
      <c r="E110" s="49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22"/>
      <c r="B111" s="23"/>
      <c r="C111" s="29"/>
      <c r="D111" s="1"/>
      <c r="E111" s="49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22"/>
      <c r="B112" s="23"/>
      <c r="C112" s="29"/>
      <c r="D112" s="1"/>
      <c r="E112" s="49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22"/>
      <c r="B113" s="23"/>
      <c r="C113" s="29"/>
      <c r="D113" s="1"/>
      <c r="E113" s="49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22"/>
      <c r="B114" s="23"/>
      <c r="C114" s="29"/>
      <c r="D114" s="1"/>
      <c r="E114" s="49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22"/>
      <c r="B115" s="23"/>
      <c r="C115" s="29"/>
      <c r="D115" s="1"/>
      <c r="E115" s="49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22"/>
      <c r="B116" s="23"/>
      <c r="C116" s="29"/>
      <c r="D116" s="1"/>
      <c r="E116" s="49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22"/>
      <c r="B117" s="23"/>
      <c r="C117" s="29"/>
      <c r="D117" s="1"/>
      <c r="E117" s="49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22"/>
      <c r="B118" s="23"/>
      <c r="C118" s="29"/>
      <c r="D118" s="1"/>
      <c r="E118" s="49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22"/>
      <c r="B119" s="23"/>
      <c r="C119" s="29"/>
      <c r="D119" s="1"/>
      <c r="E119" s="49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22"/>
      <c r="B120" s="23"/>
      <c r="C120" s="29"/>
      <c r="D120" s="1"/>
      <c r="E120" s="49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22"/>
      <c r="B121" s="23"/>
      <c r="C121" s="29"/>
      <c r="D121" s="1"/>
      <c r="E121" s="49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22"/>
      <c r="B122" s="23"/>
      <c r="C122" s="29"/>
      <c r="D122" s="1"/>
      <c r="E122" s="49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22"/>
      <c r="B123" s="23"/>
      <c r="C123" s="29"/>
      <c r="D123" s="1"/>
      <c r="E123" s="49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22"/>
      <c r="B124" s="23"/>
      <c r="C124" s="29"/>
      <c r="D124" s="1"/>
      <c r="E124" s="49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22"/>
      <c r="B125" s="23"/>
      <c r="C125" s="29"/>
      <c r="D125" s="1"/>
      <c r="E125" s="49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22"/>
      <c r="B126" s="23"/>
      <c r="C126" s="29"/>
      <c r="D126" s="1"/>
      <c r="E126" s="49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22"/>
      <c r="B127" s="23"/>
      <c r="C127" s="29"/>
      <c r="D127" s="1"/>
      <c r="E127" s="49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22"/>
      <c r="B128" s="23"/>
      <c r="C128" s="29"/>
      <c r="D128" s="1"/>
      <c r="E128" s="49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22"/>
      <c r="B129" s="23"/>
      <c r="C129" s="29"/>
      <c r="D129" s="1"/>
      <c r="E129" s="49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22"/>
      <c r="B130" s="23"/>
      <c r="C130" s="29"/>
      <c r="D130" s="1"/>
      <c r="E130" s="49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22"/>
      <c r="B131" s="23"/>
      <c r="C131" s="29"/>
      <c r="D131" s="1"/>
      <c r="E131" s="49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22"/>
      <c r="B132" s="23"/>
      <c r="C132" s="29"/>
      <c r="D132" s="1"/>
      <c r="E132" s="49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22"/>
      <c r="B133" s="23"/>
      <c r="C133" s="29"/>
      <c r="D133" s="1"/>
      <c r="E133" s="49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22"/>
      <c r="B134" s="23"/>
      <c r="C134" s="29"/>
      <c r="D134" s="1"/>
      <c r="E134" s="49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22"/>
      <c r="B135" s="23"/>
      <c r="C135" s="29"/>
      <c r="D135" s="1"/>
      <c r="E135" s="49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22"/>
      <c r="B136" s="23"/>
      <c r="C136" s="29"/>
      <c r="D136" s="1"/>
      <c r="E136" s="49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22"/>
      <c r="B137" s="23"/>
      <c r="C137" s="29"/>
      <c r="D137" s="1"/>
      <c r="E137" s="49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22"/>
      <c r="B138" s="23"/>
      <c r="C138" s="29"/>
      <c r="D138" s="1"/>
      <c r="E138" s="49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22"/>
      <c r="B139" s="23"/>
      <c r="C139" s="29"/>
      <c r="D139" s="1"/>
      <c r="E139" s="49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22"/>
      <c r="B140" s="23"/>
      <c r="C140" s="29"/>
      <c r="D140" s="1"/>
      <c r="E140" s="49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22"/>
      <c r="B141" s="23"/>
      <c r="C141" s="29"/>
      <c r="D141" s="1"/>
      <c r="E141" s="49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22"/>
      <c r="B142" s="23"/>
      <c r="C142" s="29"/>
      <c r="D142" s="1"/>
      <c r="E142" s="49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22"/>
      <c r="B143" s="23"/>
      <c r="C143" s="29"/>
      <c r="D143" s="1"/>
      <c r="E143" s="49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22"/>
      <c r="B144" s="23"/>
      <c r="C144" s="29"/>
      <c r="D144" s="1"/>
      <c r="E144" s="49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22"/>
      <c r="B145" s="23"/>
      <c r="C145" s="29"/>
      <c r="D145" s="1"/>
      <c r="E145" s="49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22"/>
      <c r="B146" s="23"/>
      <c r="C146" s="29"/>
      <c r="D146" s="1"/>
      <c r="E146" s="49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22"/>
      <c r="B147" s="23"/>
      <c r="C147" s="29"/>
      <c r="D147" s="1"/>
      <c r="E147" s="49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22"/>
      <c r="B148" s="23"/>
      <c r="C148" s="29"/>
      <c r="D148" s="1"/>
      <c r="E148" s="49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22"/>
      <c r="B149" s="23"/>
      <c r="C149" s="29"/>
      <c r="D149" s="1"/>
      <c r="E149" s="49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22"/>
      <c r="B150" s="23"/>
      <c r="C150" s="29"/>
      <c r="D150" s="1"/>
      <c r="E150" s="49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22"/>
      <c r="B151" s="23"/>
      <c r="C151" s="29"/>
      <c r="D151" s="1"/>
      <c r="E151" s="49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22"/>
      <c r="B152" s="23"/>
      <c r="C152" s="29"/>
      <c r="D152" s="1"/>
      <c r="E152" s="49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22"/>
      <c r="B153" s="23"/>
      <c r="C153" s="29"/>
      <c r="D153" s="1"/>
      <c r="E153" s="49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22"/>
      <c r="B154" s="23"/>
      <c r="C154" s="29"/>
      <c r="D154" s="1"/>
      <c r="E154" s="49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22"/>
      <c r="B155" s="23"/>
      <c r="C155" s="29"/>
      <c r="D155" s="1"/>
      <c r="E155" s="49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22"/>
      <c r="B156" s="23"/>
      <c r="C156" s="29"/>
      <c r="D156" s="1"/>
      <c r="E156" s="49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22"/>
      <c r="B157" s="23"/>
      <c r="C157" s="29"/>
      <c r="D157" s="1"/>
      <c r="E157" s="49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22"/>
      <c r="B158" s="23"/>
      <c r="C158" s="29"/>
      <c r="D158" s="1"/>
      <c r="E158" s="49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22"/>
      <c r="B159" s="23"/>
      <c r="C159" s="29"/>
      <c r="D159" s="1"/>
      <c r="E159" s="49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22"/>
      <c r="B160" s="23"/>
      <c r="C160" s="29"/>
      <c r="D160" s="1"/>
      <c r="E160" s="49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22"/>
      <c r="B161" s="23"/>
      <c r="C161" s="29"/>
      <c r="D161" s="1"/>
      <c r="E161" s="49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22"/>
      <c r="B162" s="23"/>
      <c r="C162" s="29"/>
      <c r="D162" s="1"/>
      <c r="E162" s="49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22"/>
      <c r="B163" s="23"/>
      <c r="C163" s="29"/>
      <c r="D163" s="1"/>
      <c r="E163" s="49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22"/>
      <c r="B164" s="23"/>
      <c r="C164" s="29"/>
      <c r="D164" s="1"/>
      <c r="E164" s="49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22"/>
      <c r="B165" s="23"/>
      <c r="C165" s="29"/>
      <c r="D165" s="1"/>
      <c r="E165" s="49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22"/>
      <c r="B166" s="23"/>
      <c r="C166" s="29"/>
      <c r="D166" s="1"/>
      <c r="E166" s="49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22"/>
      <c r="B167" s="23"/>
      <c r="C167" s="29"/>
      <c r="D167" s="1"/>
      <c r="E167" s="49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22"/>
      <c r="B168" s="23"/>
      <c r="C168" s="29"/>
      <c r="D168" s="1"/>
      <c r="E168" s="49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22"/>
      <c r="B169" s="23"/>
      <c r="C169" s="29"/>
      <c r="D169" s="1"/>
      <c r="E169" s="49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22"/>
      <c r="B170" s="23"/>
      <c r="C170" s="29"/>
      <c r="D170" s="1"/>
      <c r="E170" s="49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22"/>
      <c r="B171" s="23"/>
      <c r="C171" s="29"/>
      <c r="D171" s="1"/>
      <c r="E171" s="49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22"/>
      <c r="B172" s="23"/>
      <c r="C172" s="29"/>
      <c r="D172" s="1"/>
      <c r="E172" s="49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22"/>
      <c r="B173" s="23"/>
      <c r="C173" s="29"/>
      <c r="D173" s="1"/>
      <c r="E173" s="49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22"/>
      <c r="B174" s="23"/>
      <c r="C174" s="29"/>
      <c r="D174" s="1"/>
      <c r="E174" s="49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22"/>
      <c r="B175" s="23"/>
      <c r="C175" s="29"/>
      <c r="D175" s="1"/>
      <c r="E175" s="49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22"/>
      <c r="B176" s="23"/>
      <c r="C176" s="29"/>
      <c r="D176" s="1"/>
      <c r="E176" s="49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22"/>
      <c r="B177" s="23"/>
      <c r="C177" s="29"/>
      <c r="D177" s="1"/>
      <c r="E177" s="49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22"/>
      <c r="B178" s="23"/>
      <c r="C178" s="29"/>
      <c r="D178" s="1"/>
      <c r="E178" s="49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22"/>
      <c r="B179" s="23"/>
      <c r="C179" s="29"/>
      <c r="D179" s="1"/>
      <c r="E179" s="49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22"/>
      <c r="B180" s="23"/>
      <c r="C180" s="29"/>
      <c r="D180" s="1"/>
      <c r="E180" s="49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22"/>
      <c r="B181" s="23"/>
      <c r="C181" s="29"/>
      <c r="D181" s="1"/>
      <c r="E181" s="49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22"/>
      <c r="B182" s="23"/>
      <c r="C182" s="29"/>
      <c r="D182" s="1"/>
      <c r="E182" s="49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22"/>
      <c r="B183" s="23"/>
      <c r="C183" s="29"/>
      <c r="D183" s="1"/>
      <c r="E183" s="49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22"/>
      <c r="B184" s="23"/>
      <c r="C184" s="29"/>
      <c r="D184" s="1"/>
      <c r="E184" s="49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22"/>
      <c r="B185" s="23"/>
      <c r="C185" s="29"/>
      <c r="D185" s="1"/>
      <c r="E185" s="49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22"/>
      <c r="B186" s="23"/>
      <c r="C186" s="29"/>
      <c r="D186" s="1"/>
      <c r="E186" s="49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22"/>
      <c r="B187" s="23"/>
      <c r="C187" s="29"/>
      <c r="D187" s="1"/>
      <c r="E187" s="49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22"/>
      <c r="B188" s="23"/>
      <c r="C188" s="29"/>
      <c r="D188" s="1"/>
      <c r="E188" s="49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22"/>
      <c r="B189" s="23"/>
      <c r="C189" s="29"/>
      <c r="D189" s="1"/>
      <c r="E189" s="49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22"/>
      <c r="B190" s="23"/>
      <c r="C190" s="29"/>
      <c r="D190" s="1"/>
      <c r="E190" s="49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22"/>
      <c r="B191" s="23"/>
      <c r="C191" s="29"/>
      <c r="D191" s="1"/>
      <c r="E191" s="49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22"/>
      <c r="B192" s="23"/>
      <c r="C192" s="29"/>
      <c r="D192" s="1"/>
      <c r="E192" s="49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22"/>
      <c r="B193" s="23"/>
      <c r="C193" s="29"/>
      <c r="D193" s="1"/>
      <c r="E193" s="49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22"/>
      <c r="B194" s="23"/>
      <c r="C194" s="29"/>
      <c r="D194" s="1"/>
      <c r="E194" s="49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22"/>
      <c r="B195" s="23"/>
      <c r="C195" s="29"/>
      <c r="D195" s="1"/>
      <c r="E195" s="49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22"/>
      <c r="B196" s="23"/>
      <c r="C196" s="29"/>
      <c r="D196" s="1"/>
      <c r="E196" s="49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22"/>
      <c r="B197" s="23"/>
      <c r="C197" s="29"/>
      <c r="D197" s="1"/>
      <c r="E197" s="49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22"/>
      <c r="B198" s="23"/>
      <c r="C198" s="29"/>
      <c r="D198" s="1"/>
      <c r="E198" s="49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22"/>
      <c r="B199" s="23"/>
      <c r="C199" s="29"/>
      <c r="D199" s="1"/>
      <c r="E199" s="49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22"/>
      <c r="B200" s="23"/>
      <c r="C200" s="29"/>
      <c r="D200" s="1"/>
      <c r="E200" s="49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22"/>
      <c r="B201" s="23"/>
      <c r="C201" s="29"/>
      <c r="D201" s="1"/>
      <c r="E201" s="49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22"/>
      <c r="B202" s="23"/>
      <c r="C202" s="29"/>
      <c r="D202" s="1"/>
      <c r="E202" s="49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22"/>
      <c r="B203" s="23"/>
      <c r="C203" s="29"/>
      <c r="D203" s="1"/>
      <c r="E203" s="49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22"/>
      <c r="B204" s="23"/>
      <c r="C204" s="29"/>
      <c r="D204" s="1"/>
      <c r="E204" s="49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22"/>
      <c r="B205" s="23"/>
      <c r="C205" s="29"/>
      <c r="D205" s="1"/>
      <c r="E205" s="49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22"/>
      <c r="B206" s="23"/>
      <c r="C206" s="29"/>
      <c r="D206" s="1"/>
      <c r="E206" s="49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22"/>
      <c r="B207" s="23"/>
      <c r="C207" s="29"/>
      <c r="D207" s="1"/>
      <c r="E207" s="49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22"/>
      <c r="B208" s="23"/>
      <c r="C208" s="29"/>
      <c r="D208" s="1"/>
      <c r="E208" s="49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22"/>
      <c r="B209" s="23"/>
      <c r="C209" s="29"/>
      <c r="D209" s="1"/>
      <c r="E209" s="49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22"/>
      <c r="B210" s="23"/>
      <c r="C210" s="29"/>
      <c r="D210" s="1"/>
      <c r="E210" s="49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22"/>
      <c r="B211" s="23"/>
      <c r="C211" s="29"/>
      <c r="D211" s="1"/>
      <c r="E211" s="49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22"/>
      <c r="B212" s="23"/>
      <c r="C212" s="29"/>
      <c r="D212" s="1"/>
      <c r="E212" s="49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22"/>
      <c r="B213" s="23"/>
      <c r="C213" s="29"/>
      <c r="D213" s="1"/>
      <c r="E213" s="49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22"/>
      <c r="B214" s="23"/>
      <c r="C214" s="29"/>
      <c r="D214" s="1"/>
      <c r="E214" s="49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22"/>
      <c r="B215" s="23"/>
      <c r="C215" s="29"/>
      <c r="D215" s="1"/>
      <c r="E215" s="49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22"/>
      <c r="B216" s="23"/>
      <c r="C216" s="29"/>
      <c r="D216" s="1"/>
      <c r="E216" s="49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22"/>
      <c r="B217" s="23"/>
      <c r="C217" s="29"/>
      <c r="D217" s="1"/>
      <c r="E217" s="49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22"/>
      <c r="B218" s="23"/>
      <c r="C218" s="29"/>
      <c r="D218" s="1"/>
      <c r="E218" s="49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22"/>
      <c r="B219" s="23"/>
      <c r="C219" s="29"/>
      <c r="D219" s="1"/>
      <c r="E219" s="49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22"/>
      <c r="B220" s="23"/>
      <c r="C220" s="29"/>
      <c r="D220" s="1"/>
      <c r="E220" s="49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22"/>
      <c r="B221" s="23"/>
      <c r="C221" s="29"/>
      <c r="D221" s="1"/>
      <c r="E221" s="49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22"/>
      <c r="B222" s="23"/>
      <c r="C222" s="29"/>
      <c r="D222" s="1"/>
      <c r="E222" s="49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22"/>
      <c r="B223" s="23"/>
      <c r="C223" s="29"/>
      <c r="D223" s="1"/>
      <c r="E223" s="49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22"/>
      <c r="B224" s="23"/>
      <c r="C224" s="29"/>
      <c r="D224" s="1"/>
      <c r="E224" s="49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22"/>
      <c r="B225" s="23"/>
      <c r="C225" s="29"/>
      <c r="D225" s="1"/>
      <c r="E225" s="49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22"/>
      <c r="B226" s="23"/>
      <c r="C226" s="29"/>
      <c r="D226" s="1"/>
      <c r="E226" s="49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22"/>
      <c r="B227" s="23"/>
      <c r="C227" s="29"/>
      <c r="D227" s="1"/>
      <c r="E227" s="49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22"/>
      <c r="B228" s="23"/>
      <c r="C228" s="29"/>
      <c r="D228" s="1"/>
      <c r="E228" s="49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22"/>
      <c r="B229" s="23"/>
      <c r="C229" s="29"/>
      <c r="D229" s="1"/>
      <c r="E229" s="49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22"/>
      <c r="B230" s="23"/>
      <c r="C230" s="29"/>
      <c r="D230" s="1"/>
      <c r="E230" s="49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22"/>
      <c r="B231" s="23"/>
      <c r="C231" s="29"/>
      <c r="D231" s="1"/>
      <c r="E231" s="49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22"/>
      <c r="B232" s="23"/>
      <c r="C232" s="29"/>
      <c r="D232" s="1"/>
      <c r="E232" s="49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22"/>
      <c r="B233" s="23"/>
      <c r="C233" s="29"/>
      <c r="D233" s="1"/>
      <c r="E233" s="49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22"/>
      <c r="B234" s="23"/>
      <c r="C234" s="29"/>
      <c r="D234" s="1"/>
      <c r="E234" s="49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22"/>
      <c r="B235" s="23"/>
      <c r="C235" s="29"/>
      <c r="D235" s="1"/>
      <c r="E235" s="49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22"/>
      <c r="B236" s="23"/>
      <c r="C236" s="29"/>
      <c r="D236" s="1"/>
      <c r="E236" s="49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22"/>
      <c r="B237" s="23"/>
      <c r="C237" s="29"/>
      <c r="D237" s="1"/>
      <c r="E237" s="49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22"/>
      <c r="B238" s="23"/>
      <c r="C238" s="29"/>
      <c r="D238" s="1"/>
      <c r="E238" s="49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22"/>
      <c r="B239" s="23"/>
      <c r="C239" s="29"/>
      <c r="D239" s="1"/>
      <c r="E239" s="49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22"/>
      <c r="B240" s="23"/>
      <c r="C240" s="29"/>
      <c r="D240" s="1"/>
      <c r="E240" s="49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22"/>
      <c r="B241" s="23"/>
      <c r="C241" s="29"/>
      <c r="D241" s="1"/>
      <c r="E241" s="49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22"/>
      <c r="B242" s="23"/>
      <c r="C242" s="29"/>
      <c r="D242" s="1"/>
      <c r="E242" s="49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22"/>
      <c r="B243" s="23"/>
      <c r="C243" s="29"/>
      <c r="D243" s="1"/>
      <c r="E243" s="49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22"/>
      <c r="B244" s="23"/>
      <c r="C244" s="29"/>
      <c r="D244" s="1"/>
      <c r="E244" s="49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22"/>
      <c r="B245" s="23"/>
      <c r="C245" s="29"/>
      <c r="D245" s="1"/>
      <c r="E245" s="49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22"/>
      <c r="B246" s="23"/>
      <c r="C246" s="29"/>
      <c r="D246" s="1"/>
      <c r="E246" s="49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22"/>
      <c r="B247" s="23"/>
      <c r="C247" s="29"/>
      <c r="D247" s="1"/>
      <c r="E247" s="49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22"/>
      <c r="B248" s="23"/>
      <c r="C248" s="29"/>
      <c r="D248" s="1"/>
      <c r="E248" s="4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22"/>
      <c r="B249" s="23"/>
      <c r="C249" s="29"/>
      <c r="D249" s="1"/>
      <c r="E249" s="49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22"/>
      <c r="B250" s="23"/>
      <c r="C250" s="29"/>
      <c r="D250" s="1"/>
      <c r="E250" s="4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22"/>
      <c r="B251" s="23"/>
      <c r="C251" s="29"/>
      <c r="D251" s="1"/>
      <c r="E251" s="49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22"/>
      <c r="B252" s="23"/>
      <c r="C252" s="29"/>
      <c r="D252" s="1"/>
      <c r="E252" s="49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22"/>
      <c r="B253" s="23"/>
      <c r="C253" s="29"/>
      <c r="D253" s="1"/>
      <c r="E253" s="49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22"/>
      <c r="B254" s="23"/>
      <c r="C254" s="29"/>
      <c r="D254" s="1"/>
      <c r="E254" s="49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22"/>
      <c r="B255" s="23"/>
      <c r="C255" s="29"/>
      <c r="D255" s="1"/>
      <c r="E255" s="49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22"/>
      <c r="B256" s="23"/>
      <c r="C256" s="29"/>
      <c r="D256" s="1"/>
      <c r="E256" s="49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22"/>
      <c r="B257" s="23"/>
      <c r="C257" s="29"/>
      <c r="D257" s="1"/>
      <c r="E257" s="49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22"/>
      <c r="B258" s="23"/>
      <c r="C258" s="29"/>
      <c r="D258" s="1"/>
      <c r="E258" s="49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22"/>
      <c r="B259" s="23"/>
      <c r="C259" s="29"/>
      <c r="D259" s="1"/>
      <c r="E259" s="49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22"/>
      <c r="B260" s="23"/>
      <c r="C260" s="29"/>
      <c r="D260" s="1"/>
      <c r="E260" s="49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22"/>
      <c r="B261" s="23"/>
      <c r="C261" s="29"/>
      <c r="D261" s="1"/>
      <c r="E261" s="49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22"/>
      <c r="B262" s="23"/>
      <c r="C262" s="29"/>
      <c r="D262" s="1"/>
      <c r="E262" s="49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22"/>
      <c r="B263" s="23"/>
      <c r="C263" s="29"/>
      <c r="D263" s="1"/>
      <c r="E263" s="49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22"/>
      <c r="B264" s="23"/>
      <c r="C264" s="29"/>
      <c r="D264" s="1"/>
      <c r="E264" s="49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22"/>
      <c r="B265" s="23"/>
      <c r="C265" s="29"/>
      <c r="D265" s="1"/>
      <c r="E265" s="49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22"/>
      <c r="B266" s="23"/>
      <c r="C266" s="29"/>
      <c r="D266" s="1"/>
      <c r="E266" s="49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22"/>
      <c r="B267" s="23"/>
      <c r="C267" s="29"/>
      <c r="D267" s="1"/>
      <c r="E267" s="49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22"/>
      <c r="B268" s="23"/>
      <c r="C268" s="29"/>
      <c r="D268" s="1"/>
      <c r="E268" s="49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31:A32"/>
    <mergeCell ref="A67:A6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23</vt:lpstr>
      <vt:lpstr>Анализ безотката EURUSD_4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Резник Сергей Николаевич</dc:creator>
  <cp:lastModifiedBy>Daba</cp:lastModifiedBy>
  <dcterms:created xsi:type="dcterms:W3CDTF">2015-06-05T18:19:34Z</dcterms:created>
  <dcterms:modified xsi:type="dcterms:W3CDTF">2024-08-28T15:31:37Z</dcterms:modified>
</cp:coreProperties>
</file>