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426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Ильнур\Desktop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и" sheetId="12" r:id="rId2"/>
    <sheet name="Залоги и Цена пункта" sheetId="13" r:id="rId3"/>
    <sheet name="Волатильность" sheetId="9" r:id="rId4"/>
  </sheets>
  <definedNames>
    <definedName name="ExternalData_1" localSheetId="3" hidden="1">Волатильность!$A$1:$D$22</definedName>
    <definedName name="ExternalData_2" localSheetId="3" hidden="1">Волатильность!$E$1:$H$22</definedName>
  </definedNames>
  <calcPr calcId="162913"/>
</workbook>
</file>

<file path=xl/calcChain.xml><?xml version="1.0" encoding="utf-8"?>
<calcChain xmlns="http://schemas.openxmlformats.org/spreadsheetml/2006/main">
  <c r="Q1" i="9" l="1"/>
  <c r="O4" i="10"/>
  <c r="O5" i="10" l="1"/>
  <c r="A11" i="13" l="1"/>
  <c r="A12" i="13" s="1"/>
  <c r="A13" i="13" s="1"/>
  <c r="O8" i="10"/>
  <c r="A14" i="13" l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J4" i="10"/>
  <c r="E20" i="10"/>
  <c r="M5" i="10"/>
  <c r="J2" i="10"/>
  <c r="J14" i="10"/>
  <c r="J13" i="10"/>
  <c r="J11" i="10"/>
  <c r="J10" i="10"/>
  <c r="J3" i="10"/>
  <c r="G17" i="10"/>
  <c r="E47" i="10"/>
  <c r="E45" i="10"/>
  <c r="E42" i="10"/>
  <c r="I17" i="10"/>
  <c r="J17" i="10"/>
  <c r="K17" i="10" s="1"/>
  <c r="E26" i="10"/>
  <c r="E106" i="10"/>
  <c r="E114" i="10"/>
  <c r="E100" i="10"/>
  <c r="E35" i="10"/>
  <c r="E72" i="10"/>
  <c r="E80" i="10"/>
  <c r="E25" i="10"/>
  <c r="J5" i="10"/>
  <c r="E28" i="10"/>
  <c r="E78" i="10"/>
  <c r="E33" i="10"/>
  <c r="E60" i="10"/>
  <c r="E65" i="10"/>
  <c r="E64" i="10"/>
  <c r="E97" i="10"/>
  <c r="E73" i="10"/>
  <c r="E69" i="10"/>
  <c r="E90" i="10"/>
  <c r="E55" i="10"/>
  <c r="E91" i="10"/>
  <c r="E102" i="10"/>
  <c r="E51" i="10"/>
  <c r="E85" i="10"/>
  <c r="E113" i="10"/>
  <c r="E61" i="10"/>
  <c r="E63" i="10"/>
  <c r="E19" i="10"/>
  <c r="E98" i="10"/>
  <c r="E88" i="10"/>
  <c r="E115" i="10"/>
  <c r="E84" i="10"/>
  <c r="E111" i="10"/>
  <c r="E109" i="10"/>
  <c r="E32" i="10"/>
  <c r="E31" i="10"/>
  <c r="E116" i="10"/>
  <c r="E92" i="10"/>
  <c r="E62" i="10"/>
  <c r="E37" i="10"/>
  <c r="E87" i="10"/>
  <c r="E108" i="10"/>
  <c r="E67" i="10"/>
  <c r="E41" i="10"/>
  <c r="E104" i="10"/>
  <c r="E66" i="10"/>
  <c r="E110" i="10"/>
  <c r="E36" i="10"/>
  <c r="E89" i="10"/>
  <c r="E23" i="10"/>
  <c r="E79" i="10"/>
  <c r="E46" i="10"/>
  <c r="E17" i="10"/>
  <c r="E48" i="10"/>
  <c r="E75" i="10"/>
  <c r="E74" i="10"/>
  <c r="E101" i="10"/>
  <c r="E77" i="10"/>
  <c r="E56" i="10"/>
  <c r="E58" i="10"/>
  <c r="E103" i="10"/>
  <c r="E38" i="10"/>
  <c r="E52" i="10"/>
  <c r="E18" i="10"/>
  <c r="E21" i="10"/>
  <c r="N17" i="10" l="1"/>
  <c r="V17" i="10"/>
  <c r="Y17" i="10" s="1"/>
  <c r="O17" i="10"/>
  <c r="C17" i="10"/>
  <c r="F18" i="10"/>
  <c r="G18" i="10" s="1"/>
  <c r="J7" i="10"/>
  <c r="J9" i="10"/>
  <c r="I18" i="10"/>
  <c r="J18" i="10" s="1"/>
  <c r="K18" i="10" s="1"/>
  <c r="J8" i="10"/>
  <c r="E81" i="10"/>
  <c r="E83" i="10"/>
  <c r="E39" i="10"/>
  <c r="E27" i="10"/>
  <c r="E93" i="10"/>
  <c r="E43" i="10"/>
  <c r="E105" i="10"/>
  <c r="E68" i="10"/>
  <c r="E24" i="10"/>
  <c r="E82" i="10"/>
  <c r="E71" i="10"/>
  <c r="E107" i="10"/>
  <c r="E96" i="10"/>
  <c r="E57" i="10"/>
  <c r="E94" i="10"/>
  <c r="E49" i="10"/>
  <c r="E76" i="10"/>
  <c r="E40" i="10"/>
  <c r="E86" i="10"/>
  <c r="E44" i="10"/>
  <c r="E50" i="10"/>
  <c r="E53" i="10"/>
  <c r="E95" i="10"/>
  <c r="E34" i="10"/>
  <c r="E99" i="10"/>
  <c r="E29" i="10"/>
  <c r="E22" i="10"/>
  <c r="E54" i="10"/>
  <c r="E112" i="10"/>
  <c r="E30" i="10"/>
  <c r="E70" i="10"/>
  <c r="E59" i="10"/>
  <c r="M17" i="10" l="1"/>
  <c r="X17" i="10"/>
  <c r="Q17" i="10"/>
  <c r="S17" i="10" s="1"/>
  <c r="P17" i="10"/>
  <c r="I19" i="10"/>
  <c r="J19" i="10" s="1"/>
  <c r="K19" i="10" s="1"/>
  <c r="W17" i="10"/>
  <c r="AA17" i="10" s="1"/>
  <c r="B96" i="10"/>
  <c r="B114" i="10"/>
  <c r="B29" i="10"/>
  <c r="B18" i="10"/>
  <c r="C18" i="10" s="1"/>
  <c r="B65" i="10"/>
  <c r="B37" i="10"/>
  <c r="B76" i="10"/>
  <c r="B57" i="10"/>
  <c r="B38" i="10"/>
  <c r="B72" i="10"/>
  <c r="B20" i="10"/>
  <c r="B59" i="10"/>
  <c r="B25" i="10"/>
  <c r="B78" i="10"/>
  <c r="B71" i="10"/>
  <c r="B106" i="10"/>
  <c r="B92" i="10"/>
  <c r="B115" i="10"/>
  <c r="B64" i="10"/>
  <c r="B86" i="10"/>
  <c r="B42" i="10"/>
  <c r="B87" i="10"/>
  <c r="B90" i="10"/>
  <c r="B41" i="10"/>
  <c r="B94" i="10"/>
  <c r="B52" i="10"/>
  <c r="B34" i="10"/>
  <c r="B77" i="10"/>
  <c r="B99" i="10"/>
  <c r="B26" i="10"/>
  <c r="B95" i="10"/>
  <c r="B93" i="10"/>
  <c r="B98" i="10"/>
  <c r="B107" i="10"/>
  <c r="B44" i="10"/>
  <c r="B53" i="10"/>
  <c r="B100" i="10"/>
  <c r="B68" i="10"/>
  <c r="B48" i="10"/>
  <c r="B23" i="10"/>
  <c r="B54" i="10"/>
  <c r="B47" i="10"/>
  <c r="B91" i="10"/>
  <c r="B112" i="10"/>
  <c r="B35" i="10"/>
  <c r="B109" i="10"/>
  <c r="B97" i="10"/>
  <c r="B51" i="10"/>
  <c r="B88" i="10"/>
  <c r="B74" i="10"/>
  <c r="B56" i="10"/>
  <c r="B75" i="10"/>
  <c r="B21" i="10"/>
  <c r="B24" i="10"/>
  <c r="B30" i="10"/>
  <c r="B39" i="10"/>
  <c r="B27" i="10"/>
  <c r="B19" i="10"/>
  <c r="B66" i="10"/>
  <c r="B22" i="10"/>
  <c r="B105" i="10"/>
  <c r="B82" i="10"/>
  <c r="B60" i="10"/>
  <c r="B62" i="10"/>
  <c r="B58" i="10"/>
  <c r="B111" i="10"/>
  <c r="B80" i="10"/>
  <c r="B67" i="10"/>
  <c r="B31" i="10"/>
  <c r="B116" i="10"/>
  <c r="B104" i="10"/>
  <c r="B40" i="10"/>
  <c r="B108" i="10"/>
  <c r="B61" i="10"/>
  <c r="B85" i="10"/>
  <c r="B45" i="10"/>
  <c r="B46" i="10"/>
  <c r="B89" i="10"/>
  <c r="B49" i="10"/>
  <c r="B73" i="10"/>
  <c r="B110" i="10"/>
  <c r="B83" i="10"/>
  <c r="B81" i="10"/>
  <c r="B113" i="10"/>
  <c r="B33" i="10"/>
  <c r="B69" i="10"/>
  <c r="B70" i="10"/>
  <c r="B50" i="10"/>
  <c r="B84" i="10"/>
  <c r="B43" i="10"/>
  <c r="B36" i="10"/>
  <c r="B55" i="10"/>
  <c r="B79" i="10"/>
  <c r="B103" i="10"/>
  <c r="B102" i="10"/>
  <c r="B32" i="10"/>
  <c r="B101" i="10"/>
  <c r="B28" i="10"/>
  <c r="B63" i="10"/>
  <c r="F19" i="10"/>
  <c r="F20" i="10" s="1"/>
  <c r="F21" i="10" s="1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O18" i="10"/>
  <c r="V18" i="10"/>
  <c r="Y18" i="10" s="1"/>
  <c r="N18" i="10"/>
  <c r="AA8" i="10" l="1"/>
  <c r="Y8" i="10"/>
  <c r="AB17" i="10"/>
  <c r="Q18" i="10"/>
  <c r="S18" i="10" s="1"/>
  <c r="T18" i="10" s="1"/>
  <c r="I20" i="10"/>
  <c r="J20" i="10" s="1"/>
  <c r="K20" i="10" s="1"/>
  <c r="C19" i="10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C31" i="10" s="1"/>
  <c r="C32" i="10" s="1"/>
  <c r="C33" i="10" s="1"/>
  <c r="C34" i="10" s="1"/>
  <c r="C35" i="10" s="1"/>
  <c r="C36" i="10" s="1"/>
  <c r="C37" i="10" s="1"/>
  <c r="C38" i="10" s="1"/>
  <c r="C39" i="10" s="1"/>
  <c r="C40" i="10" s="1"/>
  <c r="C41" i="10" s="1"/>
  <c r="C42" i="10" s="1"/>
  <c r="C43" i="10" s="1"/>
  <c r="C44" i="10" s="1"/>
  <c r="C45" i="10" s="1"/>
  <c r="C46" i="10" s="1"/>
  <c r="C47" i="10" s="1"/>
  <c r="C48" i="10" s="1"/>
  <c r="C49" i="10" s="1"/>
  <c r="C50" i="10" s="1"/>
  <c r="C51" i="10" s="1"/>
  <c r="C52" i="10" s="1"/>
  <c r="C53" i="10" s="1"/>
  <c r="C54" i="10" s="1"/>
  <c r="C55" i="10" s="1"/>
  <c r="C56" i="10" s="1"/>
  <c r="C57" i="10" s="1"/>
  <c r="C58" i="10" s="1"/>
  <c r="C59" i="10" s="1"/>
  <c r="C60" i="10" s="1"/>
  <c r="C61" i="10" s="1"/>
  <c r="C62" i="10" s="1"/>
  <c r="C63" i="10" s="1"/>
  <c r="C64" i="10" s="1"/>
  <c r="M18" i="10"/>
  <c r="G19" i="10"/>
  <c r="G20" i="10" s="1"/>
  <c r="G21" i="10" s="1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V19" i="10"/>
  <c r="Y19" i="10" s="1"/>
  <c r="N19" i="10"/>
  <c r="P18" i="10"/>
  <c r="W18" i="10"/>
  <c r="AA18" i="10" s="1"/>
  <c r="X18" i="10"/>
  <c r="C65" i="10" l="1"/>
  <c r="C66" i="10" s="1"/>
  <c r="C67" i="10" s="1"/>
  <c r="C68" i="10" s="1"/>
  <c r="C69" i="10" s="1"/>
  <c r="C70" i="10" s="1"/>
  <c r="C71" i="10" s="1"/>
  <c r="C72" i="10" s="1"/>
  <c r="C73" i="10" s="1"/>
  <c r="C74" i="10" s="1"/>
  <c r="C75" i="10" s="1"/>
  <c r="C76" i="10" s="1"/>
  <c r="C77" i="10" s="1"/>
  <c r="C78" i="10" s="1"/>
  <c r="C79" i="10" s="1"/>
  <c r="C80" i="10" s="1"/>
  <c r="C81" i="10" s="1"/>
  <c r="C82" i="10" s="1"/>
  <c r="C83" i="10" s="1"/>
  <c r="C84" i="10" s="1"/>
  <c r="C85" i="10" s="1"/>
  <c r="C86" i="10" s="1"/>
  <c r="C87" i="10" s="1"/>
  <c r="C88" i="10" s="1"/>
  <c r="C89" i="10" s="1"/>
  <c r="C90" i="10" s="1"/>
  <c r="C91" i="10" s="1"/>
  <c r="C92" i="10" s="1"/>
  <c r="C93" i="10" s="1"/>
  <c r="C94" i="10" s="1"/>
  <c r="C95" i="10" s="1"/>
  <c r="C96" i="10" s="1"/>
  <c r="C97" i="10" s="1"/>
  <c r="C98" i="10" s="1"/>
  <c r="C99" i="10" s="1"/>
  <c r="C100" i="10" s="1"/>
  <c r="C101" i="10" s="1"/>
  <c r="C102" i="10" s="1"/>
  <c r="C103" i="10" s="1"/>
  <c r="C104" i="10" s="1"/>
  <c r="C105" i="10" s="1"/>
  <c r="C106" i="10" s="1"/>
  <c r="C107" i="10" s="1"/>
  <c r="C108" i="10" s="1"/>
  <c r="C109" i="10" s="1"/>
  <c r="C110" i="10" s="1"/>
  <c r="C111" i="10" s="1"/>
  <c r="C112" i="10" s="1"/>
  <c r="C113" i="10" s="1"/>
  <c r="C114" i="10" s="1"/>
  <c r="C115" i="10" s="1"/>
  <c r="C116" i="10" s="1"/>
  <c r="R18" i="10"/>
  <c r="M19" i="10"/>
  <c r="I21" i="10"/>
  <c r="J21" i="10" s="1"/>
  <c r="K21" i="10" s="1"/>
  <c r="AC17" i="10"/>
  <c r="AD17" i="10" s="1"/>
  <c r="O19" i="10"/>
  <c r="N20" i="10"/>
  <c r="M20" i="10" s="1"/>
  <c r="V20" i="10"/>
  <c r="Y20" i="10" s="1"/>
  <c r="AB18" i="10"/>
  <c r="O20" i="10" l="1"/>
  <c r="O21" i="10" s="1"/>
  <c r="Q19" i="10"/>
  <c r="I22" i="10"/>
  <c r="J22" i="10" s="1"/>
  <c r="K22" i="10" s="1"/>
  <c r="AC18" i="10"/>
  <c r="P19" i="10"/>
  <c r="X19" i="10"/>
  <c r="W19" i="10"/>
  <c r="AA19" i="10" s="1"/>
  <c r="N21" i="10"/>
  <c r="M21" i="10" s="1"/>
  <c r="V21" i="10"/>
  <c r="Y21" i="10" s="1"/>
  <c r="AD18" i="10" l="1"/>
  <c r="W20" i="10"/>
  <c r="X20" i="10"/>
  <c r="AB19" i="10"/>
  <c r="S19" i="10"/>
  <c r="R19" i="10"/>
  <c r="P20" i="10"/>
  <c r="Q20" i="10"/>
  <c r="P21" i="10"/>
  <c r="Q21" i="10"/>
  <c r="I23" i="10"/>
  <c r="J23" i="10" s="1"/>
  <c r="K23" i="10" s="1"/>
  <c r="O22" i="10"/>
  <c r="X21" i="10"/>
  <c r="W21" i="10"/>
  <c r="N22" i="10"/>
  <c r="M22" i="10" s="1"/>
  <c r="V22" i="10"/>
  <c r="Y22" i="10" s="1"/>
  <c r="AB20" i="10" l="1"/>
  <c r="AA20" i="10"/>
  <c r="AC20" i="10" s="1"/>
  <c r="AD20" i="10" s="1"/>
  <c r="AB21" i="10"/>
  <c r="AA21" i="10"/>
  <c r="AC21" i="10" s="1"/>
  <c r="AD21" i="10" s="1"/>
  <c r="T19" i="10"/>
  <c r="Q22" i="10"/>
  <c r="S22" i="10" s="1"/>
  <c r="T22" i="10" s="1"/>
  <c r="S21" i="10"/>
  <c r="T21" i="10" s="1"/>
  <c r="R21" i="10"/>
  <c r="S20" i="10"/>
  <c r="T20" i="10" s="1"/>
  <c r="R20" i="10"/>
  <c r="I24" i="10"/>
  <c r="J24" i="10" s="1"/>
  <c r="K24" i="10" s="1"/>
  <c r="AC19" i="10"/>
  <c r="O23" i="10"/>
  <c r="P22" i="10"/>
  <c r="X22" i="10"/>
  <c r="N23" i="10"/>
  <c r="M23" i="10" s="1"/>
  <c r="V23" i="10"/>
  <c r="Y23" i="10" s="1"/>
  <c r="W22" i="10"/>
  <c r="AD19" i="10" l="1"/>
  <c r="R22" i="10"/>
  <c r="P23" i="10"/>
  <c r="Q23" i="10"/>
  <c r="I25" i="10"/>
  <c r="J25" i="10" s="1"/>
  <c r="O24" i="10"/>
  <c r="AB22" i="10"/>
  <c r="AA22" i="10"/>
  <c r="W23" i="10"/>
  <c r="X23" i="10"/>
  <c r="V24" i="10"/>
  <c r="Y24" i="10" s="1"/>
  <c r="N24" i="10"/>
  <c r="M24" i="10" s="1"/>
  <c r="S23" i="10" l="1"/>
  <c r="T23" i="10" s="1"/>
  <c r="R23" i="10"/>
  <c r="P24" i="10"/>
  <c r="Q24" i="10"/>
  <c r="I26" i="10"/>
  <c r="J26" i="10" s="1"/>
  <c r="O25" i="10"/>
  <c r="AC22" i="10"/>
  <c r="X24" i="10"/>
  <c r="W24" i="10"/>
  <c r="AB24" i="10" s="1"/>
  <c r="K25" i="10"/>
  <c r="AB23" i="10"/>
  <c r="AA23" i="10"/>
  <c r="AD22" i="10" l="1"/>
  <c r="S24" i="10"/>
  <c r="T24" i="10" s="1"/>
  <c r="R24" i="10"/>
  <c r="P25" i="10"/>
  <c r="I27" i="10"/>
  <c r="J27" i="10" s="1"/>
  <c r="AC23" i="10"/>
  <c r="AD23" i="10" s="1"/>
  <c r="AA24" i="10"/>
  <c r="V25" i="10"/>
  <c r="N25" i="10"/>
  <c r="Q25" i="10" s="1"/>
  <c r="K26" i="10"/>
  <c r="O26" i="10"/>
  <c r="S25" i="10" l="1"/>
  <c r="T25" i="10" s="1"/>
  <c r="R25" i="10"/>
  <c r="I28" i="10"/>
  <c r="J28" i="10" s="1"/>
  <c r="AC24" i="10"/>
  <c r="AD24" i="10" s="1"/>
  <c r="P26" i="10"/>
  <c r="M25" i="10"/>
  <c r="V26" i="10"/>
  <c r="Y26" i="10" s="1"/>
  <c r="K27" i="10"/>
  <c r="N26" i="10"/>
  <c r="M26" i="10" s="1"/>
  <c r="O27" i="10"/>
  <c r="Y25" i="10"/>
  <c r="W25" i="10"/>
  <c r="X25" i="10"/>
  <c r="Q26" i="10" l="1"/>
  <c r="S26" i="10" s="1"/>
  <c r="T26" i="10" s="1"/>
  <c r="I29" i="10"/>
  <c r="I30" i="10" s="1"/>
  <c r="P27" i="10"/>
  <c r="AA25" i="10"/>
  <c r="AB25" i="10"/>
  <c r="V27" i="10"/>
  <c r="Y27" i="10" s="1"/>
  <c r="N27" i="10"/>
  <c r="M27" i="10" s="1"/>
  <c r="K28" i="10"/>
  <c r="O28" i="10"/>
  <c r="W26" i="10"/>
  <c r="X26" i="10"/>
  <c r="R26" i="10" l="1"/>
  <c r="Q27" i="10"/>
  <c r="S27" i="10" s="1"/>
  <c r="T27" i="10" s="1"/>
  <c r="J29" i="10"/>
  <c r="K29" i="10" s="1"/>
  <c r="AC25" i="10"/>
  <c r="AD25" i="10" s="1"/>
  <c r="AB26" i="10"/>
  <c r="AA26" i="10"/>
  <c r="AC26" i="10" s="1"/>
  <c r="AD26" i="10" s="1"/>
  <c r="V28" i="10"/>
  <c r="Y28" i="10" s="1"/>
  <c r="N28" i="10"/>
  <c r="M28" i="10" s="1"/>
  <c r="X27" i="10"/>
  <c r="P28" i="10"/>
  <c r="J30" i="10"/>
  <c r="I31" i="10"/>
  <c r="W27" i="10"/>
  <c r="R27" i="10" l="1"/>
  <c r="Q28" i="10"/>
  <c r="O29" i="10"/>
  <c r="W28" i="10"/>
  <c r="AA28" i="10" s="1"/>
  <c r="AC28" i="10" s="1"/>
  <c r="AD28" i="10" s="1"/>
  <c r="X28" i="10"/>
  <c r="AB27" i="10"/>
  <c r="AA27" i="10"/>
  <c r="AC27" i="10" s="1"/>
  <c r="AD27" i="10" s="1"/>
  <c r="J31" i="10"/>
  <c r="I32" i="10"/>
  <c r="N29" i="10"/>
  <c r="M29" i="10" s="1"/>
  <c r="V29" i="10"/>
  <c r="Y29" i="10" s="1"/>
  <c r="K30" i="10"/>
  <c r="O30" i="10" l="1"/>
  <c r="P30" i="10" s="1"/>
  <c r="Q29" i="10"/>
  <c r="S28" i="10"/>
  <c r="T28" i="10" s="1"/>
  <c r="R28" i="10"/>
  <c r="P29" i="10"/>
  <c r="AB28" i="10"/>
  <c r="X29" i="10"/>
  <c r="J32" i="10"/>
  <c r="I33" i="10"/>
  <c r="W29" i="10"/>
  <c r="K31" i="10"/>
  <c r="N30" i="10"/>
  <c r="M30" i="10" s="1"/>
  <c r="V30" i="10"/>
  <c r="Y30" i="10" s="1"/>
  <c r="O31" i="10" l="1"/>
  <c r="P31" i="10" s="1"/>
  <c r="S29" i="10"/>
  <c r="T29" i="10" s="1"/>
  <c r="R29" i="10"/>
  <c r="Q30" i="10"/>
  <c r="W30" i="10"/>
  <c r="V31" i="10"/>
  <c r="Y31" i="10" s="1"/>
  <c r="K32" i="10"/>
  <c r="N31" i="10"/>
  <c r="M31" i="10" s="1"/>
  <c r="O32" i="10"/>
  <c r="J33" i="10"/>
  <c r="I34" i="10"/>
  <c r="AB29" i="10"/>
  <c r="AA29" i="10"/>
  <c r="X30" i="10"/>
  <c r="S30" i="10" l="1"/>
  <c r="T30" i="10" s="1"/>
  <c r="R30" i="10"/>
  <c r="Q31" i="10"/>
  <c r="AC29" i="10"/>
  <c r="AD29" i="10" s="1"/>
  <c r="X31" i="10"/>
  <c r="W31" i="10"/>
  <c r="AB31" i="10" s="1"/>
  <c r="K33" i="10"/>
  <c r="N32" i="10"/>
  <c r="M32" i="10" s="1"/>
  <c r="V32" i="10"/>
  <c r="Y32" i="10" s="1"/>
  <c r="O33" i="10"/>
  <c r="J34" i="10"/>
  <c r="I35" i="10"/>
  <c r="P32" i="10"/>
  <c r="AA30" i="10"/>
  <c r="AC30" i="10" s="1"/>
  <c r="AD30" i="10" s="1"/>
  <c r="AB30" i="10"/>
  <c r="Q32" i="10" l="1"/>
  <c r="S32" i="10" s="1"/>
  <c r="T32" i="10" s="1"/>
  <c r="S31" i="10"/>
  <c r="T31" i="10" s="1"/>
  <c r="R31" i="10"/>
  <c r="W32" i="10"/>
  <c r="AB32" i="10" s="1"/>
  <c r="AA31" i="10"/>
  <c r="AC31" i="10" s="1"/>
  <c r="AD31" i="10" s="1"/>
  <c r="X32" i="10"/>
  <c r="K34" i="10"/>
  <c r="N33" i="10"/>
  <c r="M33" i="10" s="1"/>
  <c r="V33" i="10"/>
  <c r="Y33" i="10" s="1"/>
  <c r="O34" i="10"/>
  <c r="J35" i="10"/>
  <c r="I36" i="10"/>
  <c r="P33" i="10"/>
  <c r="R32" i="10" l="1"/>
  <c r="Q33" i="10"/>
  <c r="S33" i="10" s="1"/>
  <c r="T33" i="10" s="1"/>
  <c r="AA32" i="10"/>
  <c r="AC32" i="10" s="1"/>
  <c r="AD32" i="10" s="1"/>
  <c r="W33" i="10"/>
  <c r="AB33" i="10" s="1"/>
  <c r="X33" i="10"/>
  <c r="P34" i="10"/>
  <c r="J36" i="10"/>
  <c r="I37" i="10"/>
  <c r="V34" i="10"/>
  <c r="Y34" i="10" s="1"/>
  <c r="N34" i="10"/>
  <c r="M34" i="10" s="1"/>
  <c r="K35" i="10"/>
  <c r="O35" i="10"/>
  <c r="R33" i="10" l="1"/>
  <c r="Q34" i="10"/>
  <c r="AA33" i="10"/>
  <c r="AC33" i="10" s="1"/>
  <c r="AD33" i="10" s="1"/>
  <c r="P35" i="10"/>
  <c r="V35" i="10"/>
  <c r="Y35" i="10" s="1"/>
  <c r="N35" i="10"/>
  <c r="M35" i="10" s="1"/>
  <c r="K36" i="10"/>
  <c r="O36" i="10"/>
  <c r="W34" i="10"/>
  <c r="J37" i="10"/>
  <c r="I38" i="10"/>
  <c r="X34" i="10"/>
  <c r="R34" i="10" l="1"/>
  <c r="S34" i="10"/>
  <c r="T34" i="10" s="1"/>
  <c r="Q35" i="10"/>
  <c r="X35" i="10"/>
  <c r="AA34" i="10"/>
  <c r="AC34" i="10" s="1"/>
  <c r="AD34" i="10" s="1"/>
  <c r="AB34" i="10"/>
  <c r="P36" i="10"/>
  <c r="J38" i="10"/>
  <c r="I39" i="10"/>
  <c r="V36" i="10"/>
  <c r="Y36" i="10" s="1"/>
  <c r="K37" i="10"/>
  <c r="N36" i="10"/>
  <c r="M36" i="10" s="1"/>
  <c r="O37" i="10"/>
  <c r="W35" i="10"/>
  <c r="Q36" i="10" l="1"/>
  <c r="S36" i="10" s="1"/>
  <c r="T36" i="10" s="1"/>
  <c r="R35" i="10"/>
  <c r="S35" i="10"/>
  <c r="T35" i="10" s="1"/>
  <c r="X36" i="10"/>
  <c r="K38" i="10"/>
  <c r="N37" i="10"/>
  <c r="M37" i="10" s="1"/>
  <c r="V37" i="10"/>
  <c r="Y37" i="10" s="1"/>
  <c r="O38" i="10"/>
  <c r="AB35" i="10"/>
  <c r="AA35" i="10"/>
  <c r="AC35" i="10" s="1"/>
  <c r="AD35" i="10" s="1"/>
  <c r="W36" i="10"/>
  <c r="P37" i="10"/>
  <c r="J39" i="10"/>
  <c r="I40" i="10"/>
  <c r="R36" i="10" l="1"/>
  <c r="Q37" i="10"/>
  <c r="W37" i="10"/>
  <c r="AB37" i="10" s="1"/>
  <c r="X37" i="10"/>
  <c r="P38" i="10"/>
  <c r="J40" i="10"/>
  <c r="I41" i="10"/>
  <c r="AA36" i="10"/>
  <c r="AC36" i="10" s="1"/>
  <c r="AD36" i="10" s="1"/>
  <c r="AB36" i="10"/>
  <c r="V38" i="10"/>
  <c r="Y38" i="10" s="1"/>
  <c r="K39" i="10"/>
  <c r="N38" i="10"/>
  <c r="M38" i="10" s="1"/>
  <c r="O39" i="10"/>
  <c r="S37" i="10" l="1"/>
  <c r="T37" i="10" s="1"/>
  <c r="R37" i="10"/>
  <c r="Q38" i="10"/>
  <c r="AA37" i="10"/>
  <c r="AC37" i="10" s="1"/>
  <c r="AD37" i="10" s="1"/>
  <c r="K40" i="10"/>
  <c r="N39" i="10"/>
  <c r="M39" i="10" s="1"/>
  <c r="V39" i="10"/>
  <c r="Y39" i="10" s="1"/>
  <c r="O40" i="10"/>
  <c r="X38" i="10"/>
  <c r="P39" i="10"/>
  <c r="W38" i="10"/>
  <c r="J41" i="10"/>
  <c r="I42" i="10"/>
  <c r="Q39" i="10" l="1"/>
  <c r="R38" i="10"/>
  <c r="S38" i="10"/>
  <c r="T38" i="10" s="1"/>
  <c r="P40" i="10"/>
  <c r="X39" i="10"/>
  <c r="J42" i="10"/>
  <c r="I43" i="10"/>
  <c r="AA38" i="10"/>
  <c r="AC38" i="10" s="1"/>
  <c r="AD38" i="10" s="1"/>
  <c r="AB38" i="10"/>
  <c r="W39" i="10"/>
  <c r="K41" i="10"/>
  <c r="N40" i="10"/>
  <c r="M40" i="10" s="1"/>
  <c r="V40" i="10"/>
  <c r="Y40" i="10" s="1"/>
  <c r="O41" i="10"/>
  <c r="Q40" i="10" l="1"/>
  <c r="S40" i="10" s="1"/>
  <c r="T40" i="10" s="1"/>
  <c r="R39" i="10"/>
  <c r="S39" i="10"/>
  <c r="T39" i="10" s="1"/>
  <c r="X40" i="10"/>
  <c r="K42" i="10"/>
  <c r="V41" i="10"/>
  <c r="Y41" i="10" s="1"/>
  <c r="N41" i="10"/>
  <c r="M41" i="10" s="1"/>
  <c r="O42" i="10"/>
  <c r="P41" i="10"/>
  <c r="AA39" i="10"/>
  <c r="AC39" i="10" s="1"/>
  <c r="AD39" i="10" s="1"/>
  <c r="AB39" i="10"/>
  <c r="J43" i="10"/>
  <c r="I44" i="10"/>
  <c r="W40" i="10"/>
  <c r="R40" i="10" l="1"/>
  <c r="Q41" i="10"/>
  <c r="W41" i="10"/>
  <c r="AB41" i="10" s="1"/>
  <c r="X41" i="10"/>
  <c r="P42" i="10"/>
  <c r="AB40" i="10"/>
  <c r="AA40" i="10"/>
  <c r="AC40" i="10" s="1"/>
  <c r="AD40" i="10" s="1"/>
  <c r="J44" i="10"/>
  <c r="I45" i="10"/>
  <c r="K43" i="10"/>
  <c r="V42" i="10"/>
  <c r="Y42" i="10" s="1"/>
  <c r="N42" i="10"/>
  <c r="M42" i="10" s="1"/>
  <c r="O43" i="10"/>
  <c r="S41" i="10" l="1"/>
  <c r="T41" i="10" s="1"/>
  <c r="R41" i="10"/>
  <c r="Q42" i="10"/>
  <c r="AA41" i="10"/>
  <c r="AC41" i="10" s="1"/>
  <c r="AD41" i="10" s="1"/>
  <c r="W42" i="10"/>
  <c r="AA42" i="10" s="1"/>
  <c r="AC42" i="10" s="1"/>
  <c r="AD42" i="10" s="1"/>
  <c r="P43" i="10"/>
  <c r="X42" i="10"/>
  <c r="N43" i="10"/>
  <c r="M43" i="10" s="1"/>
  <c r="V43" i="10"/>
  <c r="Y43" i="10" s="1"/>
  <c r="K44" i="10"/>
  <c r="O44" i="10"/>
  <c r="J45" i="10"/>
  <c r="I46" i="10"/>
  <c r="Q43" i="10" l="1"/>
  <c r="R43" i="10" s="1"/>
  <c r="S42" i="10"/>
  <c r="T42" i="10" s="1"/>
  <c r="R42" i="10"/>
  <c r="AB42" i="10"/>
  <c r="W43" i="10"/>
  <c r="J46" i="10"/>
  <c r="I47" i="10"/>
  <c r="V44" i="10"/>
  <c r="Y44" i="10" s="1"/>
  <c r="K45" i="10"/>
  <c r="N44" i="10"/>
  <c r="M44" i="10" s="1"/>
  <c r="O45" i="10"/>
  <c r="P44" i="10"/>
  <c r="X43" i="10"/>
  <c r="S43" i="10" l="1"/>
  <c r="T43" i="10" s="1"/>
  <c r="Q44" i="10"/>
  <c r="X44" i="10"/>
  <c r="W44" i="10"/>
  <c r="AA44" i="10" s="1"/>
  <c r="AC44" i="10" s="1"/>
  <c r="AD44" i="10" s="1"/>
  <c r="V45" i="10"/>
  <c r="Y45" i="10" s="1"/>
  <c r="K46" i="10"/>
  <c r="N45" i="10"/>
  <c r="M45" i="10" s="1"/>
  <c r="O46" i="10"/>
  <c r="AB43" i="10"/>
  <c r="AA43" i="10"/>
  <c r="AC43" i="10" s="1"/>
  <c r="AD43" i="10" s="1"/>
  <c r="P45" i="10"/>
  <c r="J47" i="10"/>
  <c r="I48" i="10"/>
  <c r="Q45" i="10" l="1"/>
  <c r="S44" i="10"/>
  <c r="T44" i="10" s="1"/>
  <c r="R44" i="10"/>
  <c r="X45" i="10"/>
  <c r="W45" i="10"/>
  <c r="AB45" i="10" s="1"/>
  <c r="AB44" i="10"/>
  <c r="J48" i="10"/>
  <c r="I49" i="10"/>
  <c r="V46" i="10"/>
  <c r="Y46" i="10" s="1"/>
  <c r="K47" i="10"/>
  <c r="N46" i="10"/>
  <c r="M46" i="10" s="1"/>
  <c r="O47" i="10"/>
  <c r="P46" i="10"/>
  <c r="S45" i="10" l="1"/>
  <c r="T45" i="10" s="1"/>
  <c r="R45" i="10"/>
  <c r="Q46" i="10"/>
  <c r="AA45" i="10"/>
  <c r="AC45" i="10" s="1"/>
  <c r="AD45" i="10" s="1"/>
  <c r="P47" i="10"/>
  <c r="J49" i="10"/>
  <c r="I50" i="10"/>
  <c r="N47" i="10"/>
  <c r="M47" i="10" s="1"/>
  <c r="K48" i="10"/>
  <c r="V47" i="10"/>
  <c r="Y47" i="10" s="1"/>
  <c r="O48" i="10"/>
  <c r="X46" i="10"/>
  <c r="W46" i="10"/>
  <c r="Q47" i="10" l="1"/>
  <c r="R47" i="10" s="1"/>
  <c r="S46" i="10"/>
  <c r="T46" i="10" s="1"/>
  <c r="R46" i="10"/>
  <c r="X47" i="10"/>
  <c r="J50" i="10"/>
  <c r="I51" i="10"/>
  <c r="AB46" i="10"/>
  <c r="AA46" i="10"/>
  <c r="AC46" i="10" s="1"/>
  <c r="AD46" i="10" s="1"/>
  <c r="V48" i="10"/>
  <c r="Y48" i="10" s="1"/>
  <c r="N48" i="10"/>
  <c r="M48" i="10" s="1"/>
  <c r="K49" i="10"/>
  <c r="O49" i="10"/>
  <c r="W47" i="10"/>
  <c r="P48" i="10"/>
  <c r="S47" i="10" l="1"/>
  <c r="T47" i="10" s="1"/>
  <c r="Q48" i="10"/>
  <c r="X48" i="10"/>
  <c r="W48" i="10"/>
  <c r="AA48" i="10" s="1"/>
  <c r="AC48" i="10" s="1"/>
  <c r="AD48" i="10" s="1"/>
  <c r="N49" i="10"/>
  <c r="M49" i="10" s="1"/>
  <c r="V49" i="10"/>
  <c r="Y49" i="10" s="1"/>
  <c r="K50" i="10"/>
  <c r="O50" i="10"/>
  <c r="J51" i="10"/>
  <c r="I52" i="10"/>
  <c r="P49" i="10"/>
  <c r="AB47" i="10"/>
  <c r="AA47" i="10"/>
  <c r="AC47" i="10" s="1"/>
  <c r="AD47" i="10" s="1"/>
  <c r="S48" i="10" l="1"/>
  <c r="T48" i="10" s="1"/>
  <c r="R48" i="10"/>
  <c r="Q49" i="10"/>
  <c r="W49" i="10"/>
  <c r="AB49" i="10" s="1"/>
  <c r="X49" i="10"/>
  <c r="AB48" i="10"/>
  <c r="P50" i="10"/>
  <c r="N50" i="10"/>
  <c r="M50" i="10" s="1"/>
  <c r="V50" i="10"/>
  <c r="Y50" i="10" s="1"/>
  <c r="K51" i="10"/>
  <c r="O51" i="10"/>
  <c r="J52" i="10"/>
  <c r="I53" i="10"/>
  <c r="S49" i="10" l="1"/>
  <c r="T49" i="10" s="1"/>
  <c r="R49" i="10"/>
  <c r="Q50" i="10"/>
  <c r="AA49" i="10"/>
  <c r="AC49" i="10" s="1"/>
  <c r="AD49" i="10" s="1"/>
  <c r="J53" i="10"/>
  <c r="I54" i="10"/>
  <c r="W50" i="10"/>
  <c r="P51" i="10"/>
  <c r="X50" i="10"/>
  <c r="V51" i="10"/>
  <c r="Y51" i="10" s="1"/>
  <c r="K52" i="10"/>
  <c r="N51" i="10"/>
  <c r="M51" i="10" s="1"/>
  <c r="O52" i="10"/>
  <c r="Q51" i="10" l="1"/>
  <c r="S51" i="10" s="1"/>
  <c r="T51" i="10" s="1"/>
  <c r="S50" i="10"/>
  <c r="T50" i="10" s="1"/>
  <c r="R50" i="10"/>
  <c r="P52" i="10"/>
  <c r="X51" i="10"/>
  <c r="AB50" i="10"/>
  <c r="AA50" i="10"/>
  <c r="AC50" i="10" s="1"/>
  <c r="AD50" i="10" s="1"/>
  <c r="J54" i="10"/>
  <c r="I55" i="10"/>
  <c r="K53" i="10"/>
  <c r="V52" i="10"/>
  <c r="Y52" i="10" s="1"/>
  <c r="N52" i="10"/>
  <c r="M52" i="10" s="1"/>
  <c r="O53" i="10"/>
  <c r="W51" i="10"/>
  <c r="R51" i="10" l="1"/>
  <c r="Q52" i="10"/>
  <c r="S52" i="10" s="1"/>
  <c r="T52" i="10" s="1"/>
  <c r="V53" i="10"/>
  <c r="Y53" i="10" s="1"/>
  <c r="N53" i="10"/>
  <c r="M53" i="10" s="1"/>
  <c r="K54" i="10"/>
  <c r="O54" i="10"/>
  <c r="P53" i="10"/>
  <c r="J55" i="10"/>
  <c r="I56" i="10"/>
  <c r="X52" i="10"/>
  <c r="AB51" i="10"/>
  <c r="AA51" i="10"/>
  <c r="AC51" i="10" s="1"/>
  <c r="AD51" i="10" s="1"/>
  <c r="W52" i="10"/>
  <c r="R52" i="10" l="1"/>
  <c r="Q53" i="10"/>
  <c r="X53" i="10"/>
  <c r="W53" i="10"/>
  <c r="AA53" i="10" s="1"/>
  <c r="AC53" i="10" s="1"/>
  <c r="AD53" i="10" s="1"/>
  <c r="P54" i="10"/>
  <c r="AB52" i="10"/>
  <c r="AA52" i="10"/>
  <c r="AC52" i="10" s="1"/>
  <c r="AD52" i="10" s="1"/>
  <c r="N54" i="10"/>
  <c r="M54" i="10" s="1"/>
  <c r="K55" i="10"/>
  <c r="V54" i="10"/>
  <c r="Y54" i="10" s="1"/>
  <c r="O55" i="10"/>
  <c r="J56" i="10"/>
  <c r="I57" i="10"/>
  <c r="S53" i="10" l="1"/>
  <c r="T53" i="10" s="1"/>
  <c r="R53" i="10"/>
  <c r="Q54" i="10"/>
  <c r="AB53" i="10"/>
  <c r="J57" i="10"/>
  <c r="I58" i="10"/>
  <c r="K56" i="10"/>
  <c r="V55" i="10"/>
  <c r="Y55" i="10" s="1"/>
  <c r="N55" i="10"/>
  <c r="M55" i="10" s="1"/>
  <c r="O56" i="10"/>
  <c r="P55" i="10"/>
  <c r="X54" i="10"/>
  <c r="W54" i="10"/>
  <c r="Q55" i="10" l="1"/>
  <c r="R55" i="10" s="1"/>
  <c r="R54" i="10"/>
  <c r="S54" i="10"/>
  <c r="T54" i="10" s="1"/>
  <c r="X55" i="10"/>
  <c r="W55" i="10"/>
  <c r="AB55" i="10" s="1"/>
  <c r="AA54" i="10"/>
  <c r="AC54" i="10" s="1"/>
  <c r="AD54" i="10" s="1"/>
  <c r="AB54" i="10"/>
  <c r="V56" i="10"/>
  <c r="Y56" i="10" s="1"/>
  <c r="N56" i="10"/>
  <c r="M56" i="10" s="1"/>
  <c r="K57" i="10"/>
  <c r="O57" i="10"/>
  <c r="P56" i="10"/>
  <c r="J58" i="10"/>
  <c r="I59" i="10"/>
  <c r="S55" i="10" l="1"/>
  <c r="T55" i="10" s="1"/>
  <c r="Q56" i="10"/>
  <c r="AA55" i="10"/>
  <c r="AC55" i="10" s="1"/>
  <c r="AD55" i="10" s="1"/>
  <c r="X56" i="10"/>
  <c r="W56" i="10"/>
  <c r="AA56" i="10" s="1"/>
  <c r="AC56" i="10" s="1"/>
  <c r="AD56" i="10" s="1"/>
  <c r="J59" i="10"/>
  <c r="I60" i="10"/>
  <c r="P57" i="10"/>
  <c r="N57" i="10"/>
  <c r="M57" i="10" s="1"/>
  <c r="V57" i="10"/>
  <c r="Y57" i="10" s="1"/>
  <c r="K58" i="10"/>
  <c r="O58" i="10"/>
  <c r="Q57" i="10" l="1"/>
  <c r="S56" i="10"/>
  <c r="T56" i="10" s="1"/>
  <c r="R56" i="10"/>
  <c r="AB56" i="10"/>
  <c r="K59" i="10"/>
  <c r="V58" i="10"/>
  <c r="Y58" i="10" s="1"/>
  <c r="N58" i="10"/>
  <c r="M58" i="10" s="1"/>
  <c r="O59" i="10"/>
  <c r="X57" i="10"/>
  <c r="J60" i="10"/>
  <c r="I61" i="10"/>
  <c r="P58" i="10"/>
  <c r="W57" i="10"/>
  <c r="Q58" i="10" l="1"/>
  <c r="S57" i="10"/>
  <c r="T57" i="10" s="1"/>
  <c r="R57" i="10"/>
  <c r="X58" i="10"/>
  <c r="W58" i="10"/>
  <c r="AA58" i="10" s="1"/>
  <c r="AC58" i="10" s="1"/>
  <c r="AD58" i="10" s="1"/>
  <c r="J61" i="10"/>
  <c r="I62" i="10"/>
  <c r="P59" i="10"/>
  <c r="AB57" i="10"/>
  <c r="AA57" i="10"/>
  <c r="AC57" i="10" s="1"/>
  <c r="AD57" i="10" s="1"/>
  <c r="K60" i="10"/>
  <c r="N59" i="10"/>
  <c r="M59" i="10" s="1"/>
  <c r="V59" i="10"/>
  <c r="Y59" i="10" s="1"/>
  <c r="O60" i="10"/>
  <c r="Q59" i="10" l="1"/>
  <c r="S58" i="10"/>
  <c r="T58" i="10" s="1"/>
  <c r="R58" i="10"/>
  <c r="AB58" i="10"/>
  <c r="X59" i="10"/>
  <c r="J62" i="10"/>
  <c r="I63" i="10"/>
  <c r="K61" i="10"/>
  <c r="V60" i="10"/>
  <c r="Y60" i="10" s="1"/>
  <c r="N60" i="10"/>
  <c r="M60" i="10" s="1"/>
  <c r="O61" i="10"/>
  <c r="P60" i="10"/>
  <c r="W59" i="10"/>
  <c r="Q60" i="10" l="1"/>
  <c r="R59" i="10"/>
  <c r="S59" i="10"/>
  <c r="T59" i="10" s="1"/>
  <c r="W60" i="10"/>
  <c r="AA60" i="10" s="1"/>
  <c r="AC60" i="10" s="1"/>
  <c r="AD60" i="10" s="1"/>
  <c r="AA59" i="10"/>
  <c r="AC59" i="10" s="1"/>
  <c r="AD59" i="10" s="1"/>
  <c r="AB59" i="10"/>
  <c r="X60" i="10"/>
  <c r="K62" i="10"/>
  <c r="V61" i="10"/>
  <c r="Y61" i="10" s="1"/>
  <c r="N61" i="10"/>
  <c r="M61" i="10" s="1"/>
  <c r="O62" i="10"/>
  <c r="P61" i="10"/>
  <c r="J63" i="10"/>
  <c r="I64" i="10"/>
  <c r="S60" i="10" l="1"/>
  <c r="T60" i="10" s="1"/>
  <c r="R60" i="10"/>
  <c r="Q61" i="10"/>
  <c r="X61" i="10"/>
  <c r="AB60" i="10"/>
  <c r="W61" i="10"/>
  <c r="AA61" i="10" s="1"/>
  <c r="AC61" i="10" s="1"/>
  <c r="AD61" i="10" s="1"/>
  <c r="N62" i="10"/>
  <c r="M62" i="10" s="1"/>
  <c r="V62" i="10"/>
  <c r="Y62" i="10" s="1"/>
  <c r="K63" i="10"/>
  <c r="O63" i="10"/>
  <c r="P62" i="10"/>
  <c r="J64" i="10"/>
  <c r="I65" i="10"/>
  <c r="S61" i="10" l="1"/>
  <c r="T61" i="10" s="1"/>
  <c r="R61" i="10"/>
  <c r="Q62" i="10"/>
  <c r="AB61" i="10"/>
  <c r="X62" i="10"/>
  <c r="W62" i="10"/>
  <c r="AA62" i="10" s="1"/>
  <c r="AC62" i="10" s="1"/>
  <c r="AD62" i="10" s="1"/>
  <c r="P63" i="10"/>
  <c r="J65" i="10"/>
  <c r="I66" i="10"/>
  <c r="N63" i="10"/>
  <c r="M63" i="10" s="1"/>
  <c r="V63" i="10"/>
  <c r="Y63" i="10" s="1"/>
  <c r="K64" i="10"/>
  <c r="O64" i="10"/>
  <c r="S62" i="10" l="1"/>
  <c r="T62" i="10" s="1"/>
  <c r="R62" i="10"/>
  <c r="Q63" i="10"/>
  <c r="AB62" i="10"/>
  <c r="J66" i="10"/>
  <c r="I67" i="10"/>
  <c r="W63" i="10"/>
  <c r="P64" i="10"/>
  <c r="K65" i="10"/>
  <c r="V64" i="10"/>
  <c r="Y64" i="10" s="1"/>
  <c r="N64" i="10"/>
  <c r="M64" i="10" s="1"/>
  <c r="O65" i="10"/>
  <c r="X63" i="10"/>
  <c r="Q64" i="10" l="1"/>
  <c r="R63" i="10"/>
  <c r="S63" i="10"/>
  <c r="T63" i="10" s="1"/>
  <c r="P65" i="10"/>
  <c r="AA63" i="10"/>
  <c r="AC63" i="10" s="1"/>
  <c r="AD63" i="10" s="1"/>
  <c r="AB63" i="10"/>
  <c r="X64" i="10"/>
  <c r="J67" i="10"/>
  <c r="I68" i="10"/>
  <c r="V65" i="10"/>
  <c r="Y65" i="10" s="1"/>
  <c r="N65" i="10"/>
  <c r="M65" i="10" s="1"/>
  <c r="K66" i="10"/>
  <c r="O66" i="10"/>
  <c r="W64" i="10"/>
  <c r="Q65" i="10" l="1"/>
  <c r="S64" i="10"/>
  <c r="T64" i="10" s="1"/>
  <c r="R64" i="10"/>
  <c r="X65" i="10"/>
  <c r="J68" i="10"/>
  <c r="I69" i="10"/>
  <c r="V66" i="10"/>
  <c r="Y66" i="10" s="1"/>
  <c r="K67" i="10"/>
  <c r="N66" i="10"/>
  <c r="M66" i="10" s="1"/>
  <c r="O67" i="10"/>
  <c r="W65" i="10"/>
  <c r="P66" i="10"/>
  <c r="AB64" i="10"/>
  <c r="AA64" i="10"/>
  <c r="AC64" i="10" s="1"/>
  <c r="AD64" i="10" s="1"/>
  <c r="Q66" i="10" l="1"/>
  <c r="S65" i="10"/>
  <c r="T65" i="10" s="1"/>
  <c r="R65" i="10"/>
  <c r="W66" i="10"/>
  <c r="AB66" i="10" s="1"/>
  <c r="X66" i="10"/>
  <c r="P67" i="10"/>
  <c r="J69" i="10"/>
  <c r="I70" i="10"/>
  <c r="AB65" i="10"/>
  <c r="AA65" i="10"/>
  <c r="N67" i="10"/>
  <c r="M67" i="10" s="1"/>
  <c r="V67" i="10"/>
  <c r="Y67" i="10" s="1"/>
  <c r="K68" i="10"/>
  <c r="O68" i="10"/>
  <c r="AC65" i="10" l="1"/>
  <c r="AD65" i="10" s="1"/>
  <c r="Q67" i="10"/>
  <c r="R66" i="10"/>
  <c r="S66" i="10"/>
  <c r="AA66" i="10"/>
  <c r="J70" i="10"/>
  <c r="I71" i="10"/>
  <c r="W67" i="10"/>
  <c r="X67" i="10"/>
  <c r="P68" i="10"/>
  <c r="V68" i="10"/>
  <c r="Y68" i="10" s="1"/>
  <c r="N68" i="10"/>
  <c r="M68" i="10" s="1"/>
  <c r="K69" i="10"/>
  <c r="O69" i="10"/>
  <c r="AC66" i="10" l="1"/>
  <c r="AD66" i="10" s="1"/>
  <c r="T66" i="10"/>
  <c r="Q68" i="10"/>
  <c r="R67" i="10"/>
  <c r="S67" i="10"/>
  <c r="T67" i="10" s="1"/>
  <c r="X68" i="10"/>
  <c r="P69" i="10"/>
  <c r="N69" i="10"/>
  <c r="M69" i="10" s="1"/>
  <c r="V69" i="10"/>
  <c r="Y69" i="10" s="1"/>
  <c r="K70" i="10"/>
  <c r="O70" i="10"/>
  <c r="AB67" i="10"/>
  <c r="AA67" i="10"/>
  <c r="AC67" i="10" s="1"/>
  <c r="AD67" i="10" s="1"/>
  <c r="J71" i="10"/>
  <c r="I72" i="10"/>
  <c r="W68" i="10"/>
  <c r="Q69" i="10" l="1"/>
  <c r="S68" i="10"/>
  <c r="T68" i="10" s="1"/>
  <c r="R68" i="10"/>
  <c r="AB68" i="10"/>
  <c r="AA68" i="10"/>
  <c r="P70" i="10"/>
  <c r="K71" i="10"/>
  <c r="N70" i="10"/>
  <c r="M70" i="10" s="1"/>
  <c r="V70" i="10"/>
  <c r="Y70" i="10" s="1"/>
  <c r="O71" i="10"/>
  <c r="W69" i="10"/>
  <c r="J72" i="10"/>
  <c r="I73" i="10"/>
  <c r="X69" i="10"/>
  <c r="AC68" i="10" l="1"/>
  <c r="AD68" i="10" s="1"/>
  <c r="S69" i="10"/>
  <c r="T69" i="10" s="1"/>
  <c r="R69" i="10"/>
  <c r="Q70" i="10"/>
  <c r="AA69" i="10"/>
  <c r="AC69" i="10" s="1"/>
  <c r="AD69" i="10" s="1"/>
  <c r="AB69" i="10"/>
  <c r="V71" i="10"/>
  <c r="Y71" i="10" s="1"/>
  <c r="N71" i="10"/>
  <c r="M71" i="10" s="1"/>
  <c r="K72" i="10"/>
  <c r="O72" i="10"/>
  <c r="W70" i="10"/>
  <c r="P71" i="10"/>
  <c r="J73" i="10"/>
  <c r="I74" i="10"/>
  <c r="X70" i="10"/>
  <c r="R70" i="10" l="1"/>
  <c r="S70" i="10"/>
  <c r="T70" i="10" s="1"/>
  <c r="Q71" i="10"/>
  <c r="W71" i="10"/>
  <c r="AA71" i="10" s="1"/>
  <c r="AC71" i="10" s="1"/>
  <c r="AD71" i="10" s="1"/>
  <c r="X71" i="10"/>
  <c r="J74" i="10"/>
  <c r="I75" i="10"/>
  <c r="AA70" i="10"/>
  <c r="AB70" i="10"/>
  <c r="P72" i="10"/>
  <c r="K73" i="10"/>
  <c r="N72" i="10"/>
  <c r="M72" i="10" s="1"/>
  <c r="V72" i="10"/>
  <c r="Y72" i="10" s="1"/>
  <c r="O73" i="10"/>
  <c r="AC70" i="10" l="1"/>
  <c r="AD70" i="10" s="1"/>
  <c r="R71" i="10"/>
  <c r="S71" i="10"/>
  <c r="T71" i="10" s="1"/>
  <c r="Q72" i="10"/>
  <c r="AB71" i="10"/>
  <c r="J75" i="10"/>
  <c r="I76" i="10"/>
  <c r="N73" i="10"/>
  <c r="M73" i="10" s="1"/>
  <c r="K74" i="10"/>
  <c r="V73" i="10"/>
  <c r="Y73" i="10" s="1"/>
  <c r="O74" i="10"/>
  <c r="X72" i="10"/>
  <c r="P73" i="10"/>
  <c r="W72" i="10"/>
  <c r="Q73" i="10" l="1"/>
  <c r="S73" i="10" s="1"/>
  <c r="T73" i="10" s="1"/>
  <c r="S72" i="10"/>
  <c r="T72" i="10" s="1"/>
  <c r="R72" i="10"/>
  <c r="W73" i="10"/>
  <c r="AA73" i="10" s="1"/>
  <c r="AC73" i="10" s="1"/>
  <c r="AD73" i="10" s="1"/>
  <c r="P74" i="10"/>
  <c r="J76" i="10"/>
  <c r="I77" i="10"/>
  <c r="AA72" i="10"/>
  <c r="AB72" i="10"/>
  <c r="X73" i="10"/>
  <c r="K75" i="10"/>
  <c r="V74" i="10"/>
  <c r="Y74" i="10" s="1"/>
  <c r="N74" i="10"/>
  <c r="M74" i="10" s="1"/>
  <c r="O75" i="10"/>
  <c r="R73" i="10" l="1"/>
  <c r="AC72" i="10"/>
  <c r="AD72" i="10" s="1"/>
  <c r="Q74" i="10"/>
  <c r="AB73" i="10"/>
  <c r="V75" i="10"/>
  <c r="Y75" i="10" s="1"/>
  <c r="N75" i="10"/>
  <c r="M75" i="10" s="1"/>
  <c r="K76" i="10"/>
  <c r="O76" i="10"/>
  <c r="J77" i="10"/>
  <c r="I78" i="10"/>
  <c r="X74" i="10"/>
  <c r="P75" i="10"/>
  <c r="W74" i="10"/>
  <c r="S74" i="10" l="1"/>
  <c r="T74" i="10" s="1"/>
  <c r="R74" i="10"/>
  <c r="Q75" i="10"/>
  <c r="W75" i="10"/>
  <c r="AB75" i="10" s="1"/>
  <c r="X75" i="10"/>
  <c r="N76" i="10"/>
  <c r="M76" i="10" s="1"/>
  <c r="K77" i="10"/>
  <c r="V76" i="10"/>
  <c r="Y76" i="10" s="1"/>
  <c r="O77" i="10"/>
  <c r="J78" i="10"/>
  <c r="I79" i="10"/>
  <c r="AA74" i="10"/>
  <c r="AB74" i="10"/>
  <c r="P76" i="10"/>
  <c r="AC74" i="10" l="1"/>
  <c r="AD74" i="10" s="1"/>
  <c r="R75" i="10"/>
  <c r="S75" i="10"/>
  <c r="T75" i="10" s="1"/>
  <c r="Q76" i="10"/>
  <c r="AA75" i="10"/>
  <c r="AC75" i="10" s="1"/>
  <c r="AD75" i="10" s="1"/>
  <c r="W76" i="10"/>
  <c r="AA76" i="10" s="1"/>
  <c r="AC76" i="10" s="1"/>
  <c r="AD76" i="10" s="1"/>
  <c r="X76" i="10"/>
  <c r="J79" i="10"/>
  <c r="I80" i="10"/>
  <c r="K78" i="10"/>
  <c r="V77" i="10"/>
  <c r="Y77" i="10" s="1"/>
  <c r="N77" i="10"/>
  <c r="M77" i="10" s="1"/>
  <c r="O78" i="10"/>
  <c r="P77" i="10"/>
  <c r="Q77" i="10" l="1"/>
  <c r="S76" i="10"/>
  <c r="T76" i="10" s="1"/>
  <c r="R76" i="10"/>
  <c r="AB76" i="10"/>
  <c r="X77" i="10"/>
  <c r="W77" i="10"/>
  <c r="AB77" i="10" s="1"/>
  <c r="N78" i="10"/>
  <c r="M78" i="10" s="1"/>
  <c r="K79" i="10"/>
  <c r="V78" i="10"/>
  <c r="Y78" i="10" s="1"/>
  <c r="O79" i="10"/>
  <c r="P78" i="10"/>
  <c r="J80" i="10"/>
  <c r="I81" i="10"/>
  <c r="Q78" i="10" l="1"/>
  <c r="S77" i="10"/>
  <c r="T77" i="10" s="1"/>
  <c r="R77" i="10"/>
  <c r="AA77" i="10"/>
  <c r="AC77" i="10" s="1"/>
  <c r="AD77" i="10" s="1"/>
  <c r="X78" i="10"/>
  <c r="J81" i="10"/>
  <c r="I82" i="10"/>
  <c r="P79" i="10"/>
  <c r="V79" i="10"/>
  <c r="Y79" i="10" s="1"/>
  <c r="N79" i="10"/>
  <c r="M79" i="10" s="1"/>
  <c r="K80" i="10"/>
  <c r="O80" i="10"/>
  <c r="W78" i="10"/>
  <c r="S78" i="10" l="1"/>
  <c r="T78" i="10" s="1"/>
  <c r="R78" i="10"/>
  <c r="Q79" i="10"/>
  <c r="P80" i="10"/>
  <c r="N80" i="10"/>
  <c r="M80" i="10" s="1"/>
  <c r="K81" i="10"/>
  <c r="V80" i="10"/>
  <c r="Y80" i="10" s="1"/>
  <c r="O81" i="10"/>
  <c r="W79" i="10"/>
  <c r="J82" i="10"/>
  <c r="I83" i="10"/>
  <c r="AB78" i="10"/>
  <c r="AA78" i="10"/>
  <c r="AC78" i="10" s="1"/>
  <c r="AD78" i="10" s="1"/>
  <c r="X79" i="10"/>
  <c r="Q80" i="10" l="1"/>
  <c r="R80" i="10" s="1"/>
  <c r="R79" i="10"/>
  <c r="S79" i="10"/>
  <c r="T79" i="10" s="1"/>
  <c r="J83" i="10"/>
  <c r="I84" i="10"/>
  <c r="X80" i="10"/>
  <c r="K82" i="10"/>
  <c r="N81" i="10"/>
  <c r="M81" i="10" s="1"/>
  <c r="V81" i="10"/>
  <c r="Y81" i="10" s="1"/>
  <c r="O82" i="10"/>
  <c r="AB79" i="10"/>
  <c r="AA79" i="10"/>
  <c r="AC79" i="10" s="1"/>
  <c r="AD79" i="10" s="1"/>
  <c r="W80" i="10"/>
  <c r="P81" i="10"/>
  <c r="S80" i="10" l="1"/>
  <c r="T80" i="10" s="1"/>
  <c r="Q81" i="10"/>
  <c r="X81" i="10"/>
  <c r="W81" i="10"/>
  <c r="AB81" i="10" s="1"/>
  <c r="N82" i="10"/>
  <c r="M82" i="10" s="1"/>
  <c r="K83" i="10"/>
  <c r="V82" i="10"/>
  <c r="Y82" i="10" s="1"/>
  <c r="O83" i="10"/>
  <c r="P82" i="10"/>
  <c r="AA80" i="10"/>
  <c r="AC80" i="10" s="1"/>
  <c r="AD80" i="10" s="1"/>
  <c r="AB80" i="10"/>
  <c r="J84" i="10"/>
  <c r="I85" i="10"/>
  <c r="S81" i="10" l="1"/>
  <c r="T81" i="10" s="1"/>
  <c r="R81" i="10"/>
  <c r="Q82" i="10"/>
  <c r="AA81" i="10"/>
  <c r="AC81" i="10" s="1"/>
  <c r="AD81" i="10" s="1"/>
  <c r="X82" i="10"/>
  <c r="W82" i="10"/>
  <c r="AA82" i="10" s="1"/>
  <c r="AC82" i="10" s="1"/>
  <c r="AD82" i="10" s="1"/>
  <c r="V83" i="10"/>
  <c r="Y83" i="10" s="1"/>
  <c r="N83" i="10"/>
  <c r="M83" i="10" s="1"/>
  <c r="K84" i="10"/>
  <c r="O84" i="10"/>
  <c r="J85" i="10"/>
  <c r="I86" i="10"/>
  <c r="P83" i="10"/>
  <c r="S82" i="10" l="1"/>
  <c r="T82" i="10" s="1"/>
  <c r="R82" i="10"/>
  <c r="Q83" i="10"/>
  <c r="W83" i="10"/>
  <c r="AA83" i="10" s="1"/>
  <c r="AC83" i="10" s="1"/>
  <c r="AD83" i="10" s="1"/>
  <c r="AB82" i="10"/>
  <c r="X83" i="10"/>
  <c r="J86" i="10"/>
  <c r="I87" i="10"/>
  <c r="P84" i="10"/>
  <c r="N84" i="10"/>
  <c r="M84" i="10" s="1"/>
  <c r="V84" i="10"/>
  <c r="Y84" i="10" s="1"/>
  <c r="K85" i="10"/>
  <c r="O85" i="10"/>
  <c r="Q84" i="10" l="1"/>
  <c r="R83" i="10"/>
  <c r="S83" i="10"/>
  <c r="T83" i="10" s="1"/>
  <c r="AB83" i="10"/>
  <c r="P85" i="10"/>
  <c r="V85" i="10"/>
  <c r="Y85" i="10" s="1"/>
  <c r="N85" i="10"/>
  <c r="M85" i="10" s="1"/>
  <c r="K86" i="10"/>
  <c r="O86" i="10"/>
  <c r="X84" i="10"/>
  <c r="J87" i="10"/>
  <c r="I88" i="10"/>
  <c r="W84" i="10"/>
  <c r="Q85" i="10" l="1"/>
  <c r="S84" i="10"/>
  <c r="T84" i="10" s="1"/>
  <c r="R84" i="10"/>
  <c r="J88" i="10"/>
  <c r="I89" i="10"/>
  <c r="N86" i="10"/>
  <c r="M86" i="10" s="1"/>
  <c r="V86" i="10"/>
  <c r="Y86" i="10" s="1"/>
  <c r="K87" i="10"/>
  <c r="O87" i="10"/>
  <c r="W85" i="10"/>
  <c r="X85" i="10"/>
  <c r="AA84" i="10"/>
  <c r="AC84" i="10" s="1"/>
  <c r="AD84" i="10" s="1"/>
  <c r="AB84" i="10"/>
  <c r="P86" i="10"/>
  <c r="S85" i="10" l="1"/>
  <c r="T85" i="10" s="1"/>
  <c r="R85" i="10"/>
  <c r="Q86" i="10"/>
  <c r="W86" i="10"/>
  <c r="AA86" i="10" s="1"/>
  <c r="AC86" i="10" s="1"/>
  <c r="AD86" i="10" s="1"/>
  <c r="AB85" i="10"/>
  <c r="AA85" i="10"/>
  <c r="AC85" i="10" s="1"/>
  <c r="AD85" i="10" s="1"/>
  <c r="P87" i="10"/>
  <c r="J89" i="10"/>
  <c r="I90" i="10"/>
  <c r="X86" i="10"/>
  <c r="K88" i="10"/>
  <c r="V87" i="10"/>
  <c r="Y87" i="10" s="1"/>
  <c r="N87" i="10"/>
  <c r="M87" i="10" s="1"/>
  <c r="O88" i="10"/>
  <c r="R86" i="10" l="1"/>
  <c r="S86" i="10"/>
  <c r="T86" i="10" s="1"/>
  <c r="Q87" i="10"/>
  <c r="AB86" i="10"/>
  <c r="K89" i="10"/>
  <c r="N88" i="10"/>
  <c r="M88" i="10" s="1"/>
  <c r="V88" i="10"/>
  <c r="Y88" i="10" s="1"/>
  <c r="O89" i="10"/>
  <c r="P88" i="10"/>
  <c r="X87" i="10"/>
  <c r="J90" i="10"/>
  <c r="I91" i="10"/>
  <c r="W87" i="10"/>
  <c r="Q88" i="10" l="1"/>
  <c r="R87" i="10"/>
  <c r="S87" i="10"/>
  <c r="T87" i="10" s="1"/>
  <c r="X88" i="10"/>
  <c r="W88" i="10"/>
  <c r="AB88" i="10" s="1"/>
  <c r="J91" i="10"/>
  <c r="I92" i="10"/>
  <c r="P89" i="10"/>
  <c r="AA87" i="10"/>
  <c r="AC87" i="10" s="1"/>
  <c r="AD87" i="10" s="1"/>
  <c r="AB87" i="10"/>
  <c r="K90" i="10"/>
  <c r="N89" i="10"/>
  <c r="M89" i="10" s="1"/>
  <c r="V89" i="10"/>
  <c r="Y89" i="10" s="1"/>
  <c r="O90" i="10"/>
  <c r="Q89" i="10" l="1"/>
  <c r="S88" i="10"/>
  <c r="T88" i="10" s="1"/>
  <c r="R88" i="10"/>
  <c r="AA88" i="10"/>
  <c r="AC88" i="10" s="1"/>
  <c r="AD88" i="10" s="1"/>
  <c r="X89" i="10"/>
  <c r="K91" i="10"/>
  <c r="V90" i="10"/>
  <c r="Y90" i="10" s="1"/>
  <c r="N90" i="10"/>
  <c r="M90" i="10" s="1"/>
  <c r="O91" i="10"/>
  <c r="J92" i="10"/>
  <c r="I93" i="10"/>
  <c r="P90" i="10"/>
  <c r="W89" i="10"/>
  <c r="Q90" i="10" l="1"/>
  <c r="S89" i="10"/>
  <c r="T89" i="10" s="1"/>
  <c r="R89" i="10"/>
  <c r="X90" i="10"/>
  <c r="W90" i="10"/>
  <c r="AA90" i="10" s="1"/>
  <c r="AC90" i="10" s="1"/>
  <c r="AD90" i="10" s="1"/>
  <c r="N91" i="10"/>
  <c r="M91" i="10" s="1"/>
  <c r="V91" i="10"/>
  <c r="Y91" i="10" s="1"/>
  <c r="K92" i="10"/>
  <c r="O92" i="10"/>
  <c r="AA89" i="10"/>
  <c r="AC89" i="10" s="1"/>
  <c r="AD89" i="10" s="1"/>
  <c r="AB89" i="10"/>
  <c r="P91" i="10"/>
  <c r="J93" i="10"/>
  <c r="I94" i="10"/>
  <c r="S90" i="10" l="1"/>
  <c r="T90" i="10" s="1"/>
  <c r="R90" i="10"/>
  <c r="Q91" i="10"/>
  <c r="AB90" i="10"/>
  <c r="X91" i="10"/>
  <c r="W91" i="10"/>
  <c r="AA91" i="10" s="1"/>
  <c r="AC91" i="10" s="1"/>
  <c r="AD91" i="10" s="1"/>
  <c r="J94" i="10"/>
  <c r="I95" i="10"/>
  <c r="P92" i="10"/>
  <c r="V92" i="10"/>
  <c r="Y92" i="10" s="1"/>
  <c r="N92" i="10"/>
  <c r="M92" i="10" s="1"/>
  <c r="K93" i="10"/>
  <c r="O93" i="10"/>
  <c r="R91" i="10" l="1"/>
  <c r="S91" i="10"/>
  <c r="T91" i="10" s="1"/>
  <c r="Q92" i="10"/>
  <c r="AB91" i="10"/>
  <c r="X92" i="10"/>
  <c r="W92" i="10"/>
  <c r="AA92" i="10" s="1"/>
  <c r="AC92" i="10" s="1"/>
  <c r="AD92" i="10" s="1"/>
  <c r="P93" i="10"/>
  <c r="V93" i="10"/>
  <c r="Y93" i="10" s="1"/>
  <c r="N93" i="10"/>
  <c r="M93" i="10" s="1"/>
  <c r="K94" i="10"/>
  <c r="O94" i="10"/>
  <c r="J95" i="10"/>
  <c r="I96" i="10"/>
  <c r="Q93" i="10" l="1"/>
  <c r="S93" i="10" s="1"/>
  <c r="T93" i="10" s="1"/>
  <c r="S92" i="10"/>
  <c r="T92" i="10" s="1"/>
  <c r="R92" i="10"/>
  <c r="AB92" i="10"/>
  <c r="X93" i="10"/>
  <c r="W93" i="10"/>
  <c r="P94" i="10"/>
  <c r="J96" i="10"/>
  <c r="I97" i="10"/>
  <c r="V94" i="10"/>
  <c r="Y94" i="10" s="1"/>
  <c r="N94" i="10"/>
  <c r="M94" i="10" s="1"/>
  <c r="K95" i="10"/>
  <c r="O95" i="10"/>
  <c r="R93" i="10" l="1"/>
  <c r="Q94" i="10"/>
  <c r="AA93" i="10"/>
  <c r="AC93" i="10" s="1"/>
  <c r="AD93" i="10" s="1"/>
  <c r="AB93" i="10"/>
  <c r="P95" i="10"/>
  <c r="J97" i="10"/>
  <c r="I98" i="10"/>
  <c r="X94" i="10"/>
  <c r="V95" i="10"/>
  <c r="Y95" i="10" s="1"/>
  <c r="K96" i="10"/>
  <c r="N95" i="10"/>
  <c r="M95" i="10" s="1"/>
  <c r="O96" i="10"/>
  <c r="W94" i="10"/>
  <c r="S94" i="10" l="1"/>
  <c r="T94" i="10" s="1"/>
  <c r="R94" i="10"/>
  <c r="Q95" i="10"/>
  <c r="J98" i="10"/>
  <c r="I99" i="10"/>
  <c r="W95" i="10"/>
  <c r="N96" i="10"/>
  <c r="M96" i="10" s="1"/>
  <c r="V96" i="10"/>
  <c r="Y96" i="10" s="1"/>
  <c r="K97" i="10"/>
  <c r="O97" i="10"/>
  <c r="AB94" i="10"/>
  <c r="AA94" i="10"/>
  <c r="AC94" i="10" s="1"/>
  <c r="AD94" i="10" s="1"/>
  <c r="P96" i="10"/>
  <c r="X95" i="10"/>
  <c r="R95" i="10" l="1"/>
  <c r="S95" i="10"/>
  <c r="T95" i="10" s="1"/>
  <c r="Q96" i="10"/>
  <c r="W96" i="10"/>
  <c r="AB96" i="10" s="1"/>
  <c r="X96" i="10"/>
  <c r="P97" i="10"/>
  <c r="AB95" i="10"/>
  <c r="AA95" i="10"/>
  <c r="AC95" i="10" s="1"/>
  <c r="AD95" i="10" s="1"/>
  <c r="K98" i="10"/>
  <c r="V97" i="10"/>
  <c r="Y97" i="10" s="1"/>
  <c r="N97" i="10"/>
  <c r="M97" i="10" s="1"/>
  <c r="O98" i="10"/>
  <c r="J99" i="10"/>
  <c r="I100" i="10"/>
  <c r="S96" i="10" l="1"/>
  <c r="T96" i="10" s="1"/>
  <c r="R96" i="10"/>
  <c r="Q97" i="10"/>
  <c r="AA96" i="10"/>
  <c r="AC96" i="10" s="1"/>
  <c r="AD96" i="10" s="1"/>
  <c r="J100" i="10"/>
  <c r="I101" i="10"/>
  <c r="K99" i="10"/>
  <c r="N98" i="10"/>
  <c r="M98" i="10" s="1"/>
  <c r="V98" i="10"/>
  <c r="Y98" i="10" s="1"/>
  <c r="O99" i="10"/>
  <c r="X97" i="10"/>
  <c r="P98" i="10"/>
  <c r="W97" i="10"/>
  <c r="Q98" i="10" l="1"/>
  <c r="R98" i="10" s="1"/>
  <c r="S97" i="10"/>
  <c r="T97" i="10" s="1"/>
  <c r="R97" i="10"/>
  <c r="W98" i="10"/>
  <c r="AA98" i="10" s="1"/>
  <c r="AC98" i="10" s="1"/>
  <c r="AD98" i="10" s="1"/>
  <c r="X98" i="10"/>
  <c r="AB97" i="10"/>
  <c r="AA97" i="10"/>
  <c r="AC97" i="10" s="1"/>
  <c r="AD97" i="10" s="1"/>
  <c r="K100" i="10"/>
  <c r="N99" i="10"/>
  <c r="M99" i="10" s="1"/>
  <c r="V99" i="10"/>
  <c r="Y99" i="10" s="1"/>
  <c r="O100" i="10"/>
  <c r="P99" i="10"/>
  <c r="J101" i="10"/>
  <c r="I102" i="10"/>
  <c r="S98" i="10" l="1"/>
  <c r="T98" i="10" s="1"/>
  <c r="Q99" i="10"/>
  <c r="AB98" i="10"/>
  <c r="W99" i="10"/>
  <c r="AB99" i="10" s="1"/>
  <c r="K101" i="10"/>
  <c r="N100" i="10"/>
  <c r="M100" i="10" s="1"/>
  <c r="V100" i="10"/>
  <c r="Y100" i="10" s="1"/>
  <c r="O101" i="10"/>
  <c r="P100" i="10"/>
  <c r="J102" i="10"/>
  <c r="I103" i="10"/>
  <c r="X99" i="10"/>
  <c r="Q100" i="10" l="1"/>
  <c r="R99" i="10"/>
  <c r="S99" i="10"/>
  <c r="T99" i="10" s="1"/>
  <c r="AA99" i="10"/>
  <c r="AC99" i="10" s="1"/>
  <c r="AD99" i="10" s="1"/>
  <c r="X100" i="10"/>
  <c r="W100" i="10"/>
  <c r="AB100" i="10" s="1"/>
  <c r="J103" i="10"/>
  <c r="I104" i="10"/>
  <c r="V101" i="10"/>
  <c r="Y101" i="10" s="1"/>
  <c r="N101" i="10"/>
  <c r="M101" i="10" s="1"/>
  <c r="K102" i="10"/>
  <c r="O102" i="10"/>
  <c r="P101" i="10"/>
  <c r="S100" i="10" l="1"/>
  <c r="T100" i="10" s="1"/>
  <c r="R100" i="10"/>
  <c r="Q101" i="10"/>
  <c r="W101" i="10"/>
  <c r="AA101" i="10" s="1"/>
  <c r="AC101" i="10" s="1"/>
  <c r="AD101" i="10" s="1"/>
  <c r="AA100" i="10"/>
  <c r="AC100" i="10" s="1"/>
  <c r="AD100" i="10" s="1"/>
  <c r="X101" i="10"/>
  <c r="P102" i="10"/>
  <c r="K103" i="10"/>
  <c r="V102" i="10"/>
  <c r="Y102" i="10" s="1"/>
  <c r="N102" i="10"/>
  <c r="M102" i="10" s="1"/>
  <c r="O103" i="10"/>
  <c r="J104" i="10"/>
  <c r="I105" i="10"/>
  <c r="S101" i="10" l="1"/>
  <c r="T101" i="10" s="1"/>
  <c r="R101" i="10"/>
  <c r="Q102" i="10"/>
  <c r="AB101" i="10"/>
  <c r="J105" i="10"/>
  <c r="I106" i="10"/>
  <c r="P103" i="10"/>
  <c r="W102" i="10"/>
  <c r="X102" i="10"/>
  <c r="V103" i="10"/>
  <c r="Y103" i="10" s="1"/>
  <c r="N103" i="10"/>
  <c r="M103" i="10" s="1"/>
  <c r="K104" i="10"/>
  <c r="O104" i="10"/>
  <c r="R102" i="10" l="1"/>
  <c r="S102" i="10"/>
  <c r="T102" i="10" s="1"/>
  <c r="Q103" i="10"/>
  <c r="V104" i="10"/>
  <c r="Y104" i="10" s="1"/>
  <c r="K105" i="10"/>
  <c r="N104" i="10"/>
  <c r="M104" i="10" s="1"/>
  <c r="O105" i="10"/>
  <c r="AA102" i="10"/>
  <c r="AC102" i="10" s="1"/>
  <c r="AD102" i="10" s="1"/>
  <c r="AB102" i="10"/>
  <c r="W103" i="10"/>
  <c r="J106" i="10"/>
  <c r="I107" i="10"/>
  <c r="P104" i="10"/>
  <c r="X103" i="10"/>
  <c r="R103" i="10" l="1"/>
  <c r="S103" i="10"/>
  <c r="T103" i="10" s="1"/>
  <c r="Q104" i="10"/>
  <c r="X104" i="10"/>
  <c r="W104" i="10"/>
  <c r="AA104" i="10" s="1"/>
  <c r="AC104" i="10" s="1"/>
  <c r="AD104" i="10" s="1"/>
  <c r="P105" i="10"/>
  <c r="AB103" i="10"/>
  <c r="AA103" i="10"/>
  <c r="AC103" i="10" s="1"/>
  <c r="AD103" i="10" s="1"/>
  <c r="J107" i="10"/>
  <c r="I108" i="10"/>
  <c r="V105" i="10"/>
  <c r="Y105" i="10" s="1"/>
  <c r="N105" i="10"/>
  <c r="M105" i="10" s="1"/>
  <c r="K106" i="10"/>
  <c r="O106" i="10"/>
  <c r="S104" i="10" l="1"/>
  <c r="T104" i="10" s="1"/>
  <c r="R104" i="10"/>
  <c r="Q105" i="10"/>
  <c r="AB104" i="10"/>
  <c r="X105" i="10"/>
  <c r="P106" i="10"/>
  <c r="J108" i="10"/>
  <c r="I109" i="10"/>
  <c r="K107" i="10"/>
  <c r="V106" i="10"/>
  <c r="Y106" i="10" s="1"/>
  <c r="N106" i="10"/>
  <c r="M106" i="10" s="1"/>
  <c r="O107" i="10"/>
  <c r="W105" i="10"/>
  <c r="Q106" i="10" l="1"/>
  <c r="S105" i="10"/>
  <c r="T105" i="10" s="1"/>
  <c r="R105" i="10"/>
  <c r="P107" i="10"/>
  <c r="W106" i="10"/>
  <c r="J109" i="10"/>
  <c r="I110" i="10"/>
  <c r="X106" i="10"/>
  <c r="AB105" i="10"/>
  <c r="AA105" i="10"/>
  <c r="AC105" i="10" s="1"/>
  <c r="AD105" i="10" s="1"/>
  <c r="N107" i="10"/>
  <c r="M107" i="10" s="1"/>
  <c r="V107" i="10"/>
  <c r="Y107" i="10" s="1"/>
  <c r="K108" i="10"/>
  <c r="O108" i="10"/>
  <c r="Q107" i="10" l="1"/>
  <c r="S106" i="10"/>
  <c r="T106" i="10" s="1"/>
  <c r="R106" i="10"/>
  <c r="N108" i="10"/>
  <c r="M108" i="10" s="1"/>
  <c r="V108" i="10"/>
  <c r="Y108" i="10" s="1"/>
  <c r="K109" i="10"/>
  <c r="O109" i="10"/>
  <c r="AA106" i="10"/>
  <c r="AC106" i="10" s="1"/>
  <c r="AD106" i="10" s="1"/>
  <c r="AB106" i="10"/>
  <c r="W107" i="10"/>
  <c r="P108" i="10"/>
  <c r="J110" i="10"/>
  <c r="I111" i="10"/>
  <c r="X107" i="10"/>
  <c r="Q108" i="10" l="1"/>
  <c r="R107" i="10"/>
  <c r="S107" i="10"/>
  <c r="T107" i="10" s="1"/>
  <c r="X108" i="10"/>
  <c r="W108" i="10"/>
  <c r="AA108" i="10" s="1"/>
  <c r="AC108" i="10" s="1"/>
  <c r="AD108" i="10" s="1"/>
  <c r="J111" i="10"/>
  <c r="I112" i="10"/>
  <c r="P109" i="10"/>
  <c r="N109" i="10"/>
  <c r="M109" i="10" s="1"/>
  <c r="K110" i="10"/>
  <c r="V109" i="10"/>
  <c r="Y109" i="10" s="1"/>
  <c r="O110" i="10"/>
  <c r="AB107" i="10"/>
  <c r="AA107" i="10"/>
  <c r="AC107" i="10" s="1"/>
  <c r="AD107" i="10" s="1"/>
  <c r="Q109" i="10" l="1"/>
  <c r="S108" i="10"/>
  <c r="T108" i="10" s="1"/>
  <c r="R108" i="10"/>
  <c r="AB108" i="10"/>
  <c r="X109" i="10"/>
  <c r="K111" i="10"/>
  <c r="V110" i="10"/>
  <c r="Y110" i="10" s="1"/>
  <c r="N110" i="10"/>
  <c r="M110" i="10" s="1"/>
  <c r="O111" i="10"/>
  <c r="P110" i="10"/>
  <c r="J112" i="10"/>
  <c r="I113" i="10"/>
  <c r="W109" i="10"/>
  <c r="Q110" i="10" l="1"/>
  <c r="S109" i="10"/>
  <c r="T109" i="10" s="1"/>
  <c r="R109" i="10"/>
  <c r="X110" i="10"/>
  <c r="W110" i="10"/>
  <c r="AB110" i="10" s="1"/>
  <c r="AB109" i="10"/>
  <c r="AA109" i="10"/>
  <c r="AC109" i="10" s="1"/>
  <c r="AD109" i="10" s="1"/>
  <c r="P111" i="10"/>
  <c r="I114" i="10"/>
  <c r="J113" i="10"/>
  <c r="V111" i="10"/>
  <c r="Y111" i="10" s="1"/>
  <c r="N111" i="10"/>
  <c r="M111" i="10" s="1"/>
  <c r="K112" i="10"/>
  <c r="O112" i="10"/>
  <c r="S110" i="10" l="1"/>
  <c r="T110" i="10" s="1"/>
  <c r="R110" i="10"/>
  <c r="Q111" i="10"/>
  <c r="AA110" i="10"/>
  <c r="AC110" i="10" s="1"/>
  <c r="AD110" i="10" s="1"/>
  <c r="X111" i="10"/>
  <c r="P112" i="10"/>
  <c r="K113" i="10"/>
  <c r="N112" i="10"/>
  <c r="M112" i="10" s="1"/>
  <c r="V112" i="10"/>
  <c r="Y112" i="10" s="1"/>
  <c r="O113" i="10"/>
  <c r="J114" i="10"/>
  <c r="I115" i="10"/>
  <c r="W111" i="10"/>
  <c r="R111" i="10" l="1"/>
  <c r="S111" i="10"/>
  <c r="T111" i="10" s="1"/>
  <c r="Q112" i="10"/>
  <c r="J115" i="10"/>
  <c r="I116" i="10"/>
  <c r="X112" i="10"/>
  <c r="K114" i="10"/>
  <c r="N113" i="10"/>
  <c r="M113" i="10" s="1"/>
  <c r="V113" i="10"/>
  <c r="Y113" i="10" s="1"/>
  <c r="O114" i="10"/>
  <c r="W112" i="10"/>
  <c r="P113" i="10"/>
  <c r="AA111" i="10"/>
  <c r="AC111" i="10" s="1"/>
  <c r="AD111" i="10" s="1"/>
  <c r="AB111" i="10"/>
  <c r="S112" i="10" l="1"/>
  <c r="T112" i="10" s="1"/>
  <c r="R112" i="10"/>
  <c r="Q113" i="10"/>
  <c r="X113" i="10"/>
  <c r="J116" i="10"/>
  <c r="W113" i="10"/>
  <c r="AA113" i="10" s="1"/>
  <c r="AC113" i="10" s="1"/>
  <c r="AD113" i="10" s="1"/>
  <c r="AB112" i="10"/>
  <c r="AA112" i="10"/>
  <c r="AC112" i="10" s="1"/>
  <c r="AD112" i="10" s="1"/>
  <c r="V114" i="10"/>
  <c r="Y114" i="10" s="1"/>
  <c r="K115" i="10"/>
  <c r="N114" i="10"/>
  <c r="M114" i="10" s="1"/>
  <c r="O115" i="10"/>
  <c r="P114" i="10"/>
  <c r="S113" i="10" l="1"/>
  <c r="T113" i="10" s="1"/>
  <c r="R113" i="10"/>
  <c r="Q114" i="10"/>
  <c r="W114" i="10"/>
  <c r="AA114" i="10" s="1"/>
  <c r="AC114" i="10" s="1"/>
  <c r="AD114" i="10" s="1"/>
  <c r="AB113" i="10"/>
  <c r="X114" i="10"/>
  <c r="P115" i="10"/>
  <c r="N115" i="10"/>
  <c r="M115" i="10" s="1"/>
  <c r="K116" i="10"/>
  <c r="V115" i="10"/>
  <c r="Y115" i="10" s="1"/>
  <c r="O116" i="10"/>
  <c r="Q115" i="10" l="1"/>
  <c r="R115" i="10" s="1"/>
  <c r="S114" i="10"/>
  <c r="T114" i="10" s="1"/>
  <c r="R114" i="10"/>
  <c r="AB114" i="10"/>
  <c r="P116" i="10"/>
  <c r="N116" i="10"/>
  <c r="M116" i="10" s="1"/>
  <c r="V116" i="10"/>
  <c r="Y116" i="10" s="1"/>
  <c r="W115" i="10"/>
  <c r="X115" i="10"/>
  <c r="S115" i="10" l="1"/>
  <c r="T115" i="10" s="1"/>
  <c r="Q116" i="10"/>
  <c r="W116" i="10"/>
  <c r="AB115" i="10"/>
  <c r="AA115" i="10"/>
  <c r="AC115" i="10" s="1"/>
  <c r="AD115" i="10" s="1"/>
  <c r="X116" i="10"/>
  <c r="S116" i="10" l="1"/>
  <c r="T116" i="10" s="1"/>
  <c r="R116" i="10"/>
  <c r="AA116" i="10"/>
  <c r="Y11" i="10" s="1"/>
  <c r="AA11" i="10" s="1"/>
  <c r="AB116" i="10"/>
  <c r="Y4" i="10" l="1"/>
  <c r="Y7" i="10"/>
  <c r="Y6" i="10"/>
  <c r="Y5" i="10"/>
  <c r="Y2" i="10"/>
  <c r="Y13" i="10"/>
  <c r="Y3" i="10"/>
  <c r="AA13" i="10"/>
  <c r="Y9" i="10"/>
  <c r="Y10" i="10"/>
  <c r="AA9" i="10"/>
  <c r="Y14" i="10"/>
  <c r="AA14" i="10"/>
  <c r="AC116" i="10"/>
  <c r="AA10" i="10" l="1"/>
  <c r="AA12" i="10"/>
  <c r="AD116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K3" authorId="0" shapeId="0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AG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O8" authorId="0" shapeId="0">
      <text>
        <r>
          <rPr>
            <sz val="8"/>
            <color indexed="81"/>
            <rFont val="Tahoma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5" authorId="0" shapeId="0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5" authorId="0" shapeId="0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5" authorId="0" shapeId="0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G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O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P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W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C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<sst xmlns="http://schemas.openxmlformats.org/spreadsheetml/2006/main" count="292" uniqueCount="211">
  <si>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</si>
  <si>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</si>
  <si>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</si>
  <si>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</si>
  <si>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</si>
  <si>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</si>
  <si>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</si>
  <si>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</si>
  <si>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</si>
  <si>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</si>
  <si>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</si>
  <si>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</si>
  <si>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</si>
  <si>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</si>
  <si>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</si>
  <si>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</si>
  <si>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</si>
  <si>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</si>
  <si>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</si>
  <si>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</si>
  <si>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</si>
  <si>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</si>
  <si>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</si>
  <si>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</si>
  <si>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</si>
  <si>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</si>
  <si>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</si>
  <si>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</si>
  <si>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</si>
  <si>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</si>
  <si>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</si>
  <si>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</si>
  <si>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</si>
  <si>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</si>
  <si>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</si>
  <si>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</si>
  <si>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</si>
  <si>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</si>
  <si>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</si>
  <si>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</si>
  <si>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</si>
  <si>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</si>
  <si>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</si>
  <si>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</si>
  <si>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</si>
  <si>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</si>
  <si>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</si>
  <si>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</si>
  <si>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</si>
  <si>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</si>
  <si>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</si>
  <si>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</si>
  <si>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</si>
  <si>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</si>
  <si>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</si>
  <si>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</si>
  <si>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</si>
  <si>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</si>
  <si>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</si>
  <si>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</si>
  <si>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</si>
  <si>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</si>
  <si>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</si>
  <si>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</si>
  <si>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</si>
  <si>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</si>
  <si>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</si>
  <si>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</si>
  <si>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</si>
  <si>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</si>
  <si>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</si>
  <si>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</si>
  <si>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</si>
  <si>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</si>
  <si>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</si>
  <si>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</si>
  <si>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</si>
  <si>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</si>
  <si>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</si>
  <si>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</si>
  <si>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</si>
  <si>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</si>
  <si>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</si>
  <si>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</si>
  <si>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</si>
  <si>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</si>
  <si>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</si>
  <si>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</si>
  <si>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</si>
  <si>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</si>
  <si>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</si>
  <si>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</si>
  <si>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</si>
  <si>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</si>
  <si>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</si>
  <si>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</si>
  <si>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</si>
  <si>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</si>
  <si>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</si>
  <si>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</si>
  <si>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</si>
  <si>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</si>
  <si>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</si>
  <si>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t>0,55</t>
  </si>
  <si>
    <t>1,03</t>
  </si>
  <si>
    <t>1,36</t>
  </si>
  <si>
    <t>0,98</t>
  </si>
  <si>
    <t>0,76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</si>
  <si>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</si>
  <si>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</si>
  <si>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</si>
  <si>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0,74</t>
  </si>
  <si>
    <t>0,44</t>
  </si>
  <si>
    <t>1,18</t>
  </si>
  <si>
    <t>1,11</t>
  </si>
  <si>
    <t>1,34</t>
  </si>
  <si>
    <t>0,84</t>
  </si>
  <si>
    <t>6,625,82</t>
  </si>
  <si>
    <t>1,19</t>
  </si>
  <si>
    <t>247,18</t>
  </si>
  <si>
    <t>150,82</t>
  </si>
  <si>
    <t>100,02</t>
  </si>
  <si>
    <t>80,32</t>
  </si>
  <si>
    <t>518,40</t>
  </si>
  <si>
    <t>109,74</t>
  </si>
  <si>
    <t>83,58</t>
  </si>
  <si>
    <t>0,86</t>
  </si>
  <si>
    <t>129,78</t>
  </si>
  <si>
    <t>0,19</t>
  </si>
  <si>
    <t>503,40</t>
  </si>
  <si>
    <t>29,88</t>
  </si>
  <si>
    <t>279,18</t>
  </si>
  <si>
    <t>294,08</t>
  </si>
  <si>
    <t>112,96</t>
  </si>
  <si>
    <t>3,703,16</t>
  </si>
  <si>
    <t>801,62</t>
  </si>
  <si>
    <t>74,46</t>
  </si>
  <si>
    <t>354,18</t>
  </si>
  <si>
    <t>3,144,82</t>
  </si>
  <si>
    <t>94,18</t>
  </si>
  <si>
    <t>0,96</t>
  </si>
  <si>
    <t>95,88</t>
  </si>
  <si>
    <t>112,42</t>
  </si>
  <si>
    <t>101,56</t>
  </si>
  <si>
    <t>0,99</t>
  </si>
  <si>
    <t>80,62</t>
  </si>
  <si>
    <t>1,07</t>
  </si>
  <si>
    <t>1,385,50</t>
  </si>
  <si>
    <t>1,294,26</t>
  </si>
  <si>
    <t>83,06</t>
  </si>
  <si>
    <t>107,26</t>
  </si>
  <si>
    <t>108,52</t>
  </si>
  <si>
    <t>171,66</t>
  </si>
  <si>
    <t>151,14</t>
  </si>
  <si>
    <t>66,60</t>
  </si>
  <si>
    <t>0,61</t>
  </si>
  <si>
    <t>105,18</t>
  </si>
  <si>
    <t>112,62</t>
  </si>
  <si>
    <t>177,42</t>
  </si>
  <si>
    <t>1,16</t>
  </si>
  <si>
    <t>85,94</t>
  </si>
  <si>
    <t>0,77</t>
  </si>
  <si>
    <t>235,58</t>
  </si>
  <si>
    <t>210,90</t>
  </si>
  <si>
    <t>153,18</t>
  </si>
  <si>
    <t>190,22</t>
  </si>
  <si>
    <t>1,40</t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</si>
  <si>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</si>
  <si>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</si>
  <si>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</si>
  <si>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</si>
  <si>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</si>
  <si>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</si>
  <si>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прибыль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</si>
  <si>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Ср/вз 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</si>
  <si>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БУ сетки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</si>
  <si>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 сетки</t>
    </r>
    <r>
      <rPr>
        <sz val="10"/>
        <rFont val="Arial Cyr"/>
        <charset val="204"/>
      </rPr>
      <t>, пипсов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</si>
  <si>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</si>
  <si>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</si>
  <si>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</si>
  <si>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</si>
  <si>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</si>
  <si>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</si>
  <si>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</si>
  <si>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</si>
  <si>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Итоговая оценка и рекомендации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</si>
  <si>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</si>
  <si>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</si>
  <si>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</si>
  <si>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</si>
  <si>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</si>
  <si>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</si>
  <si>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t>1,13</t>
  </si>
  <si>
    <t>1,09</t>
  </si>
  <si>
    <t>1,60</t>
  </si>
  <si>
    <t>1,97</t>
  </si>
  <si>
    <t>0,95</t>
  </si>
  <si>
    <t>2,21</t>
  </si>
  <si>
    <t>51,20</t>
  </si>
  <si>
    <t>2,68</t>
  </si>
  <si>
    <t>1,683,30</t>
  </si>
  <si>
    <t>1,27</t>
  </si>
  <si>
    <t>1,31</t>
  </si>
  <si>
    <t>1,46</t>
  </si>
  <si>
    <t>2,55</t>
  </si>
  <si>
    <t>2,13</t>
  </si>
  <si>
    <t>1,37</t>
  </si>
  <si>
    <t>1,04</t>
  </si>
  <si>
    <t>1,25</t>
  </si>
  <si>
    <t>1,21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</si>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</sst>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2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9" tint="0.39997558519241921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ck">
        <color rgb="FF00B0F0"/>
      </right>
      <top/>
      <bottom/>
      <diagonal/>
    </border>
    <border>
      <left/>
      <right style="thick">
        <color rgb="FF00B0F0"/>
      </right>
      <top/>
      <bottom style="medium">
        <color indexed="64"/>
      </bottom>
      <diagonal/>
    </border>
    <border>
      <left style="thick">
        <color rgb="FF00B0F0"/>
      </left>
      <right/>
      <top/>
      <bottom/>
      <diagonal/>
    </border>
    <border>
      <left style="thick">
        <color rgb="FF00B0F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55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301">
    <xf numFmtId="0" fontId="0" fillId="0" borderId="0" xfId="0"/>
    <xf numFmtId="2" fontId="10" fillId="0" borderId="0" xfId="0" applyNumberFormat="1" applyFont="1" applyProtection="1">
      <protection locked="0"/>
    </xf>
    <xf numFmtId="2" fontId="3" fillId="2" borderId="5" xfId="0" applyNumberFormat="1" applyFont="1" applyFill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172" fontId="3" fillId="2" borderId="5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172" fontId="3" fillId="3" borderId="5" xfId="0" applyNumberFormat="1" applyFont="1" applyFill="1" applyBorder="1" applyAlignment="1" applyProtection="1">
      <alignment horizontal="center"/>
    </xf>
    <xf numFmtId="171" fontId="15" fillId="0" borderId="1" xfId="0" applyNumberFormat="1" applyFont="1" applyFill="1" applyBorder="1" applyAlignment="1" applyProtection="1">
      <alignment horizontal="center" vertical="center"/>
    </xf>
    <xf numFmtId="171" fontId="15" fillId="2" borderId="1" xfId="0" applyNumberFormat="1" applyFont="1" applyFill="1" applyBorder="1" applyAlignment="1" applyProtection="1">
      <alignment horizontal="center" vertical="center"/>
    </xf>
    <xf numFmtId="2" fontId="3" fillId="3" borderId="5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172" fontId="0" fillId="3" borderId="4" xfId="0" applyNumberFormat="1" applyFill="1" applyBorder="1" applyProtection="1"/>
    <xf numFmtId="172" fontId="1" fillId="2" borderId="4" xfId="0" applyNumberFormat="1" applyFont="1" applyFill="1" applyBorder="1" applyProtection="1"/>
    <xf numFmtId="172" fontId="0" fillId="2" borderId="4" xfId="0" applyNumberFormat="1" applyFill="1" applyBorder="1" applyProtection="1"/>
    <xf numFmtId="0" fontId="0" fillId="0" borderId="0" xfId="0" applyAlignment="1">
      <alignment vertical="center"/>
    </xf>
    <xf numFmtId="0" fontId="20" fillId="0" borderId="0" xfId="0" applyFont="1" applyProtection="1"/>
    <xf numFmtId="2" fontId="11" fillId="0" borderId="0" xfId="0" applyNumberFormat="1" applyFont="1" applyProtection="1">
      <protection locked="0"/>
    </xf>
    <xf numFmtId="0" fontId="23" fillId="0" borderId="0" xfId="0" applyFont="1" applyProtection="1"/>
    <xf numFmtId="0" fontId="24" fillId="0" borderId="0" xfId="0" applyFont="1" applyProtection="1"/>
    <xf numFmtId="0" fontId="25" fillId="0" borderId="0" xfId="0" applyFont="1" applyProtection="1"/>
    <xf numFmtId="165" fontId="11" fillId="4" borderId="0" xfId="0" applyNumberFormat="1" applyFont="1" applyFill="1" applyAlignment="1" applyProtection="1">
      <alignment horizontal="center"/>
      <protection locked="0"/>
    </xf>
    <xf numFmtId="165" fontId="24" fillId="4" borderId="0" xfId="0" applyNumberFormat="1" applyFont="1" applyFill="1" applyAlignment="1" applyProtection="1">
      <alignment horizontal="center"/>
      <protection locked="0"/>
    </xf>
    <xf numFmtId="171" fontId="28" fillId="4" borderId="0" xfId="0" applyNumberFormat="1" applyFont="1" applyFill="1" applyAlignment="1" applyProtection="1">
      <alignment horizontal="center"/>
      <protection locked="0"/>
    </xf>
    <xf numFmtId="171" fontId="8" fillId="4" borderId="0" xfId="0" applyNumberFormat="1" applyFont="1" applyFill="1" applyAlignment="1" applyProtection="1">
      <alignment horizontal="center"/>
      <protection locked="0"/>
    </xf>
    <xf numFmtId="2" fontId="29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1" fontId="28" fillId="4" borderId="25" xfId="0" applyNumberFormat="1" applyFont="1" applyFill="1" applyBorder="1" applyAlignment="1" applyProtection="1">
      <alignment horizontal="center"/>
      <protection locked="0"/>
    </xf>
    <xf numFmtId="1" fontId="24" fillId="4" borderId="25" xfId="0" applyNumberFormat="1" applyFont="1" applyFill="1" applyBorder="1" applyAlignment="1" applyProtection="1">
      <alignment horizontal="center"/>
      <protection locked="0"/>
    </xf>
    <xf numFmtId="2" fontId="9" fillId="4" borderId="25" xfId="0" applyNumberFormat="1" applyFont="1" applyFill="1" applyBorder="1" applyAlignment="1" applyProtection="1">
      <alignment horizontal="center"/>
      <protection locked="0"/>
    </xf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70" fontId="33" fillId="4" borderId="3" xfId="0" applyNumberFormat="1" applyFont="1" applyFill="1" applyBorder="1"/>
    <xf numFmtId="170" fontId="33" fillId="2" borderId="3" xfId="0" applyNumberFormat="1" applyFont="1" applyFill="1" applyBorder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39" fillId="0" borderId="0" xfId="0" applyFont="1"/>
    <xf numFmtId="49" fontId="31" fillId="0" borderId="0" xfId="0" applyNumberFormat="1" applyFont="1" applyAlignment="1">
      <alignment horizontal="center"/>
    </xf>
    <xf numFmtId="0" fontId="1" fillId="0" borderId="0" xfId="0" applyFont="1"/>
    <xf numFmtId="0" fontId="40" fillId="0" borderId="0" xfId="0" applyFont="1" applyAlignment="1">
      <alignment horizontal="center"/>
    </xf>
    <xf numFmtId="169" fontId="34" fillId="0" borderId="5" xfId="0" applyNumberFormat="1" applyFont="1" applyBorder="1" applyAlignment="1">
      <alignment horizontal="right" vertical="center"/>
    </xf>
    <xf numFmtId="1" fontId="0" fillId="0" borderId="4" xfId="0" applyNumberFormat="1" applyBorder="1" applyAlignment="1">
      <alignment horizontal="right" indent="1"/>
    </xf>
    <xf numFmtId="1" fontId="0" fillId="0" borderId="2" xfId="0" applyNumberFormat="1" applyBorder="1" applyAlignment="1">
      <alignment horizontal="right" indent="1"/>
    </xf>
    <xf numFmtId="1" fontId="0" fillId="2" borderId="4" xfId="0" applyNumberFormat="1" applyFill="1" applyBorder="1" applyAlignment="1">
      <alignment horizontal="right" indent="1"/>
    </xf>
    <xf numFmtId="1" fontId="0" fillId="2" borderId="2" xfId="0" applyNumberFormat="1" applyFill="1" applyBorder="1" applyAlignment="1">
      <alignment horizontal="right" indent="1"/>
    </xf>
    <xf numFmtId="9" fontId="0" fillId="0" borderId="3" xfId="0" applyNumberFormat="1" applyBorder="1" applyAlignment="1">
      <alignment horizontal="right" indent="1"/>
    </xf>
    <xf numFmtId="9" fontId="0" fillId="2" borderId="3" xfId="0" applyNumberFormat="1" applyFill="1" applyBorder="1" applyAlignment="1">
      <alignment horizontal="right" indent="1"/>
    </xf>
    <xf numFmtId="9" fontId="0" fillId="0" borderId="4" xfId="0" applyNumberFormat="1" applyBorder="1" applyAlignment="1">
      <alignment horizontal="right" indent="1"/>
    </xf>
    <xf numFmtId="9" fontId="0" fillId="2" borderId="4" xfId="0" applyNumberFormat="1" applyFill="1" applyBorder="1" applyAlignment="1">
      <alignment horizontal="right" indent="1"/>
    </xf>
    <xf numFmtId="168" fontId="34" fillId="4" borderId="1" xfId="0" applyNumberFormat="1" applyFont="1" applyFill="1" applyBorder="1" applyProtection="1"/>
    <xf numFmtId="168" fontId="34" fillId="2" borderId="1" xfId="0" applyNumberFormat="1" applyFont="1" applyFill="1" applyBorder="1" applyProtection="1"/>
    <xf numFmtId="9" fontId="1" fillId="2" borderId="3" xfId="0" applyNumberFormat="1" applyFont="1" applyFill="1" applyBorder="1" applyAlignment="1" applyProtection="1">
      <alignment horizontal="right"/>
    </xf>
    <xf numFmtId="9" fontId="1" fillId="3" borderId="3" xfId="0" applyNumberFormat="1" applyFont="1" applyFill="1" applyBorder="1" applyAlignment="1" applyProtection="1">
      <alignment horizontal="right"/>
    </xf>
    <xf numFmtId="0" fontId="45" fillId="0" borderId="0" xfId="0" applyFont="1" applyAlignment="1">
      <alignment horizontal="left"/>
    </xf>
    <xf numFmtId="0" fontId="46" fillId="0" borderId="0" xfId="0" applyFont="1" applyProtection="1"/>
    <xf numFmtId="171" fontId="28" fillId="0" borderId="0" xfId="0" applyNumberFormat="1" applyFont="1" applyFill="1" applyAlignment="1" applyProtection="1">
      <alignment horizontal="center"/>
      <protection locked="0"/>
    </xf>
    <xf numFmtId="165" fontId="24" fillId="0" borderId="0" xfId="0" applyNumberFormat="1" applyFont="1" applyFill="1" applyAlignment="1" applyProtection="1">
      <alignment horizontal="center"/>
      <protection locked="0"/>
    </xf>
    <xf numFmtId="0" fontId="48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50" fillId="0" borderId="0" xfId="0" applyFont="1" applyAlignment="1" applyProtection="1">
      <alignment horizontal="center"/>
    </xf>
    <xf numFmtId="0" fontId="49" fillId="0" borderId="0" xfId="0" applyFont="1" applyAlignment="1" applyProtection="1">
      <alignment horizontal="left"/>
    </xf>
    <xf numFmtId="0" fontId="51" fillId="0" borderId="0" xfId="0" applyFont="1" applyProtection="1"/>
    <xf numFmtId="0" fontId="52" fillId="0" borderId="0" xfId="0" applyFont="1" applyProtection="1"/>
    <xf numFmtId="171" fontId="11" fillId="4" borderId="0" xfId="0" applyNumberFormat="1" applyFont="1" applyFill="1" applyAlignment="1" applyProtection="1">
      <alignment horizontal="center"/>
      <protection locked="0"/>
    </xf>
    <xf numFmtId="171" fontId="9" fillId="4" borderId="25" xfId="0" applyNumberFormat="1" applyFont="1" applyFill="1" applyBorder="1" applyAlignment="1" applyProtection="1">
      <alignment horizontal="center"/>
      <protection locked="0"/>
    </xf>
    <xf numFmtId="0" fontId="53" fillId="0" borderId="0" xfId="0" applyFont="1"/>
    <xf numFmtId="0" fontId="14" fillId="0" borderId="0" xfId="0" applyFont="1"/>
    <xf numFmtId="0" fontId="54" fillId="4" borderId="25" xfId="0" applyFont="1" applyFill="1" applyBorder="1" applyAlignment="1" applyProtection="1">
      <alignment horizontal="center"/>
      <protection locked="0"/>
    </xf>
    <xf numFmtId="0" fontId="44" fillId="0" borderId="0" xfId="0" applyFont="1" applyAlignment="1"/>
    <xf numFmtId="172" fontId="3" fillId="0" borderId="27" xfId="0" applyNumberFormat="1" applyFont="1" applyFill="1" applyBorder="1" applyAlignment="1" applyProtection="1">
      <alignment horizontal="center"/>
    </xf>
    <xf numFmtId="172" fontId="3" fillId="2" borderId="27" xfId="0" applyNumberFormat="1" applyFont="1" applyFill="1" applyBorder="1" applyAlignment="1" applyProtection="1">
      <alignment horizontal="center"/>
    </xf>
    <xf numFmtId="172" fontId="3" fillId="0" borderId="27" xfId="0" applyNumberFormat="1" applyFont="1" applyBorder="1" applyAlignment="1" applyProtection="1">
      <alignment horizontal="center"/>
    </xf>
    <xf numFmtId="2" fontId="3" fillId="0" borderId="27" xfId="0" applyNumberFormat="1" applyFont="1" applyBorder="1" applyAlignment="1" applyProtection="1">
      <alignment horizontal="center"/>
    </xf>
    <xf numFmtId="2" fontId="3" fillId="2" borderId="27" xfId="0" applyNumberFormat="1" applyFont="1" applyFill="1" applyBorder="1" applyAlignment="1" applyProtection="1">
      <alignment horizontal="center"/>
    </xf>
    <xf numFmtId="9" fontId="0" fillId="3" borderId="27" xfId="0" applyNumberFormat="1" applyFill="1" applyBorder="1" applyProtection="1"/>
    <xf numFmtId="9" fontId="0" fillId="2" borderId="27" xfId="0" applyNumberFormat="1" applyFill="1" applyBorder="1" applyProtection="1"/>
    <xf numFmtId="9" fontId="1" fillId="2" borderId="27" xfId="0" applyNumberFormat="1" applyFont="1" applyFill="1" applyBorder="1" applyProtection="1"/>
    <xf numFmtId="9" fontId="0" fillId="0" borderId="27" xfId="0" applyNumberFormat="1" applyBorder="1" applyAlignment="1">
      <alignment horizontal="right" indent="1"/>
    </xf>
    <xf numFmtId="9" fontId="0" fillId="2" borderId="27" xfId="0" applyNumberFormat="1" applyFill="1" applyBorder="1" applyAlignment="1">
      <alignment horizontal="right" indent="1"/>
    </xf>
    <xf numFmtId="171" fontId="15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69" fontId="0" fillId="0" borderId="3" xfId="0" applyNumberFormat="1" applyBorder="1"/>
    <xf numFmtId="169" fontId="0" fillId="2" borderId="3" xfId="0" applyNumberFormat="1" applyFill="1" applyBorder="1"/>
    <xf numFmtId="171" fontId="34" fillId="4" borderId="3" xfId="0" applyNumberFormat="1" applyFont="1" applyFill="1" applyBorder="1"/>
    <xf numFmtId="171" fontId="34" fillId="2" borderId="3" xfId="0" applyNumberFormat="1" applyFont="1" applyFill="1" applyBorder="1"/>
    <xf numFmtId="0" fontId="0" fillId="5" borderId="0" xfId="0" applyFill="1"/>
    <xf numFmtId="171" fontId="26" fillId="5" borderId="0" xfId="0" applyNumberFormat="1" applyFont="1" applyFill="1" applyProtection="1"/>
    <xf numFmtId="171" fontId="47" fillId="5" borderId="0" xfId="0" applyNumberFormat="1" applyFont="1" applyFill="1" applyProtection="1"/>
    <xf numFmtId="0" fontId="7" fillId="5" borderId="28" xfId="0" applyFont="1" applyFill="1" applyBorder="1" applyAlignment="1" applyProtection="1">
      <alignment horizontal="center" vertical="center" wrapText="1"/>
    </xf>
    <xf numFmtId="2" fontId="3" fillId="5" borderId="28" xfId="0" applyNumberFormat="1" applyFont="1" applyFill="1" applyBorder="1" applyAlignment="1" applyProtection="1">
      <alignment horizontal="center"/>
    </xf>
    <xf numFmtId="2" fontId="3" fillId="5" borderId="29" xfId="0" applyNumberFormat="1" applyFont="1" applyFill="1" applyBorder="1" applyAlignment="1" applyProtection="1">
      <alignment horizontal="center"/>
    </xf>
    <xf numFmtId="0" fontId="0" fillId="5" borderId="0" xfId="0" applyFill="1" applyProtection="1"/>
    <xf numFmtId="0" fontId="0" fillId="5" borderId="28" xfId="0" applyFill="1" applyBorder="1" applyAlignment="1" applyProtection="1">
      <alignment vertical="center"/>
    </xf>
    <xf numFmtId="0" fontId="0" fillId="5" borderId="28" xfId="0" applyFill="1" applyBorder="1" applyProtection="1"/>
    <xf numFmtId="0" fontId="0" fillId="5" borderId="29" xfId="0" applyFill="1" applyBorder="1" applyProtection="1"/>
    <xf numFmtId="0" fontId="0" fillId="5" borderId="28" xfId="0" applyFill="1" applyBorder="1" applyAlignment="1">
      <alignment vertical="center"/>
    </xf>
    <xf numFmtId="0" fontId="0" fillId="5" borderId="28" xfId="0" applyFill="1" applyBorder="1"/>
    <xf numFmtId="0" fontId="0" fillId="5" borderId="29" xfId="0" applyFill="1" applyBorder="1"/>
    <xf numFmtId="9" fontId="0" fillId="5" borderId="28" xfId="0" applyNumberFormat="1" applyFill="1" applyBorder="1"/>
    <xf numFmtId="9" fontId="0" fillId="5" borderId="29" xfId="0" applyNumberFormat="1" applyFill="1" applyBorder="1"/>
    <xf numFmtId="171" fontId="15" fillId="6" borderId="1" xfId="0" applyNumberFormat="1" applyFont="1" applyFill="1" applyBorder="1" applyAlignment="1" applyProtection="1">
      <alignment horizontal="center" vertical="center"/>
    </xf>
    <xf numFmtId="172" fontId="3" fillId="6" borderId="27" xfId="0" applyNumberFormat="1" applyFont="1" applyFill="1" applyBorder="1" applyAlignment="1" applyProtection="1">
      <alignment horizontal="center"/>
    </xf>
    <xf numFmtId="171" fontId="15" fillId="6" borderId="4" xfId="0" applyNumberFormat="1" applyFont="1" applyFill="1" applyBorder="1" applyAlignment="1" applyProtection="1">
      <alignment horizontal="center" vertical="center"/>
    </xf>
    <xf numFmtId="172" fontId="3" fillId="6" borderId="5" xfId="0" applyNumberFormat="1" applyFont="1" applyFill="1" applyBorder="1" applyAlignment="1" applyProtection="1">
      <alignment horizontal="center"/>
    </xf>
    <xf numFmtId="167" fontId="3" fillId="6" borderId="4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7" xfId="0" applyNumberFormat="1" applyFont="1" applyFill="1" applyBorder="1" applyAlignment="1" applyProtection="1">
      <alignment horizontal="center"/>
    </xf>
    <xf numFmtId="168" fontId="0" fillId="6" borderId="3" xfId="0" applyNumberFormat="1" applyFill="1" applyBorder="1" applyProtection="1"/>
    <xf numFmtId="168" fontId="34" fillId="6" borderId="1" xfId="0" applyNumberFormat="1" applyFont="1" applyFill="1" applyBorder="1" applyProtection="1"/>
    <xf numFmtId="9" fontId="1" fillId="6" borderId="3" xfId="0" applyNumberFormat="1" applyFont="1" applyFill="1" applyBorder="1" applyAlignment="1" applyProtection="1">
      <alignment horizontal="right"/>
    </xf>
    <xf numFmtId="0" fontId="0" fillId="6" borderId="4" xfId="0" applyFill="1" applyBorder="1" applyProtection="1"/>
    <xf numFmtId="9" fontId="0" fillId="6" borderId="2" xfId="0" applyNumberFormat="1" applyFill="1" applyBorder="1" applyProtection="1"/>
    <xf numFmtId="172" fontId="0" fillId="6" borderId="4" xfId="0" applyNumberFormat="1" applyFill="1" applyBorder="1" applyProtection="1"/>
    <xf numFmtId="9" fontId="0" fillId="6" borderId="27" xfId="0" applyNumberFormat="1" applyFill="1" applyBorder="1" applyProtection="1"/>
    <xf numFmtId="169" fontId="0" fillId="6" borderId="3" xfId="0" applyNumberFormat="1" applyFill="1" applyBorder="1"/>
    <xf numFmtId="170" fontId="33" fillId="6" borderId="3" xfId="0" applyNumberFormat="1" applyFont="1" applyFill="1" applyBorder="1"/>
    <xf numFmtId="9" fontId="0" fillId="6" borderId="4" xfId="0" applyNumberFormat="1" applyFill="1" applyBorder="1" applyAlignment="1">
      <alignment horizontal="right" indent="1"/>
    </xf>
    <xf numFmtId="9" fontId="0" fillId="6" borderId="27" xfId="0" applyNumberFormat="1" applyFill="1" applyBorder="1" applyAlignment="1">
      <alignment horizontal="right" indent="1"/>
    </xf>
    <xf numFmtId="171" fontId="34" fillId="6" borderId="3" xfId="0" applyNumberFormat="1" applyFont="1" applyFill="1" applyBorder="1"/>
    <xf numFmtId="9" fontId="0" fillId="6" borderId="3" xfId="0" applyNumberFormat="1" applyFill="1" applyBorder="1" applyAlignment="1">
      <alignment horizontal="right" indent="1"/>
    </xf>
    <xf numFmtId="1" fontId="0" fillId="6" borderId="4" xfId="0" applyNumberFormat="1" applyFill="1" applyBorder="1" applyAlignment="1">
      <alignment horizontal="right" indent="1"/>
    </xf>
    <xf numFmtId="1" fontId="0" fillId="6" borderId="2" xfId="0" applyNumberFormat="1" applyFill="1" applyBorder="1" applyAlignment="1">
      <alignment horizontal="right" indent="1"/>
    </xf>
    <xf numFmtId="168" fontId="0" fillId="0" borderId="3" xfId="0" applyNumberFormat="1" applyFill="1" applyBorder="1" applyProtection="1"/>
    <xf numFmtId="168" fontId="0" fillId="6" borderId="8" xfId="0" applyNumberFormat="1" applyFill="1" applyBorder="1" applyProtection="1"/>
    <xf numFmtId="171" fontId="15" fillId="6" borderId="6" xfId="0" applyNumberFormat="1" applyFont="1" applyFill="1" applyBorder="1" applyAlignment="1" applyProtection="1">
      <alignment horizontal="center" vertical="center"/>
    </xf>
    <xf numFmtId="172" fontId="3" fillId="6" borderId="30" xfId="0" applyNumberFormat="1" applyFont="1" applyFill="1" applyBorder="1" applyAlignment="1" applyProtection="1">
      <alignment horizontal="center"/>
    </xf>
    <xf numFmtId="171" fontId="15" fillId="6" borderId="9" xfId="0" applyNumberFormat="1" applyFont="1" applyFill="1" applyBorder="1" applyAlignment="1" applyProtection="1">
      <alignment horizontal="center" vertical="center"/>
    </xf>
    <xf numFmtId="172" fontId="3" fillId="6" borderId="24" xfId="0" applyNumberFormat="1" applyFont="1" applyFill="1" applyBorder="1" applyAlignment="1" applyProtection="1">
      <alignment horizontal="center"/>
    </xf>
    <xf numFmtId="167" fontId="3" fillId="6" borderId="9" xfId="0" applyNumberFormat="1" applyFont="1" applyFill="1" applyBorder="1" applyAlignment="1" applyProtection="1">
      <alignment horizontal="center" vertical="center"/>
    </xf>
    <xf numFmtId="2" fontId="3" fillId="6" borderId="24" xfId="0" applyNumberFormat="1" applyFont="1" applyFill="1" applyBorder="1" applyAlignment="1" applyProtection="1">
      <alignment horizontal="center"/>
    </xf>
    <xf numFmtId="2" fontId="3" fillId="6" borderId="30" xfId="0" applyNumberFormat="1" applyFont="1" applyFill="1" applyBorder="1" applyAlignment="1" applyProtection="1">
      <alignment horizontal="center"/>
    </xf>
    <xf numFmtId="168" fontId="34" fillId="6" borderId="6" xfId="0" applyNumberFormat="1" applyFont="1" applyFill="1" applyBorder="1" applyProtection="1"/>
    <xf numFmtId="9" fontId="1" fillId="6" borderId="8" xfId="0" applyNumberFormat="1" applyFont="1" applyFill="1" applyBorder="1" applyAlignment="1" applyProtection="1">
      <alignment horizontal="right"/>
    </xf>
    <xf numFmtId="0" fontId="0" fillId="6" borderId="9" xfId="0" applyFill="1" applyBorder="1" applyProtection="1"/>
    <xf numFmtId="9" fontId="0" fillId="6" borderId="7" xfId="0" applyNumberFormat="1" applyFill="1" applyBorder="1" applyProtection="1"/>
    <xf numFmtId="172" fontId="0" fillId="6" borderId="9" xfId="0" applyNumberFormat="1" applyFill="1" applyBorder="1" applyProtection="1"/>
    <xf numFmtId="9" fontId="0" fillId="6" borderId="30" xfId="0" applyNumberFormat="1" applyFill="1" applyBorder="1" applyProtection="1"/>
    <xf numFmtId="169" fontId="0" fillId="6" borderId="8" xfId="0" applyNumberFormat="1" applyFill="1" applyBorder="1"/>
    <xf numFmtId="170" fontId="33" fillId="6" borderId="8" xfId="0" applyNumberFormat="1" applyFont="1" applyFill="1" applyBorder="1"/>
    <xf numFmtId="9" fontId="0" fillId="6" borderId="9" xfId="0" applyNumberFormat="1" applyFill="1" applyBorder="1" applyAlignment="1">
      <alignment horizontal="right" indent="1"/>
    </xf>
    <xf numFmtId="9" fontId="0" fillId="6" borderId="30" xfId="0" applyNumberFormat="1" applyFill="1" applyBorder="1" applyAlignment="1">
      <alignment horizontal="right" indent="1"/>
    </xf>
    <xf numFmtId="171" fontId="34" fillId="6" borderId="8" xfId="0" applyNumberFormat="1" applyFont="1" applyFill="1" applyBorder="1"/>
    <xf numFmtId="9" fontId="0" fillId="6" borderId="8" xfId="0" applyNumberFormat="1" applyFill="1" applyBorder="1" applyAlignment="1">
      <alignment horizontal="right" indent="1"/>
    </xf>
    <xf numFmtId="1" fontId="0" fillId="6" borderId="9" xfId="0" applyNumberFormat="1" applyFill="1" applyBorder="1" applyAlignment="1">
      <alignment horizontal="right" indent="1"/>
    </xf>
    <xf numFmtId="1" fontId="0" fillId="6" borderId="7" xfId="0" applyNumberFormat="1" applyFill="1" applyBorder="1" applyAlignment="1">
      <alignment horizontal="right" indent="1"/>
    </xf>
    <xf numFmtId="0" fontId="7" fillId="7" borderId="10" xfId="0" applyFont="1" applyFill="1" applyBorder="1" applyAlignment="1" applyProtection="1">
      <alignment horizontal="center" vertical="center" wrapText="1"/>
    </xf>
    <xf numFmtId="0" fontId="10" fillId="7" borderId="11" xfId="0" applyFont="1" applyFill="1" applyBorder="1" applyAlignment="1" applyProtection="1">
      <alignment horizontal="center" vertical="center" wrapText="1"/>
    </xf>
    <xf numFmtId="0" fontId="7" fillId="7" borderId="31" xfId="0" applyFont="1" applyFill="1" applyBorder="1" applyAlignment="1" applyProtection="1">
      <alignment horizontal="center" vertical="center" wrapText="1"/>
    </xf>
    <xf numFmtId="0" fontId="10" fillId="7" borderId="15" xfId="0" applyFont="1" applyFill="1" applyBorder="1" applyAlignment="1" applyProtection="1">
      <alignment horizontal="center" vertical="center" wrapText="1"/>
    </xf>
    <xf numFmtId="0" fontId="7" fillId="7" borderId="12" xfId="0" applyFont="1" applyFill="1" applyBorder="1" applyAlignment="1" applyProtection="1">
      <alignment horizontal="center" vertical="center" wrapText="1"/>
    </xf>
    <xf numFmtId="0" fontId="7" fillId="7" borderId="15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 wrapText="1"/>
    </xf>
    <xf numFmtId="0" fontId="13" fillId="7" borderId="14" xfId="0" applyFont="1" applyFill="1" applyBorder="1" applyAlignment="1" applyProtection="1">
      <alignment horizontal="center" vertical="center"/>
    </xf>
    <xf numFmtId="0" fontId="18" fillId="7" borderId="14" xfId="0" applyFont="1" applyFill="1" applyBorder="1" applyAlignment="1">
      <alignment horizontal="center" vertical="center" wrapText="1"/>
    </xf>
    <xf numFmtId="0" fontId="0" fillId="0" borderId="0" xfId="0" applyNumberFormat="1"/>
    <xf numFmtId="169" fontId="34" fillId="0" borderId="18" xfId="0" applyNumberFormat="1" applyFont="1" applyFill="1" applyBorder="1" applyAlignment="1">
      <alignment horizontal="right" vertical="center"/>
    </xf>
    <xf numFmtId="169" fontId="34" fillId="0" borderId="5" xfId="0" applyNumberFormat="1" applyFont="1" applyFill="1" applyBorder="1" applyAlignment="1">
      <alignment horizontal="right" vertical="center"/>
    </xf>
    <xf numFmtId="0" fontId="34" fillId="0" borderId="26" xfId="0" applyFont="1" applyFill="1" applyBorder="1" applyAlignment="1">
      <alignment horizontal="left" vertical="center" indent="1"/>
    </xf>
    <xf numFmtId="169" fontId="34" fillId="0" borderId="33" xfId="0" applyNumberFormat="1" applyFont="1" applyFill="1" applyBorder="1" applyAlignment="1">
      <alignment horizontal="right" vertical="center"/>
    </xf>
    <xf numFmtId="0" fontId="34" fillId="0" borderId="1" xfId="0" applyFont="1" applyFill="1" applyBorder="1" applyAlignment="1">
      <alignment horizontal="left" vertical="center" indent="1"/>
    </xf>
    <xf numFmtId="0" fontId="34" fillId="0" borderId="1" xfId="0" applyFont="1" applyBorder="1" applyAlignment="1">
      <alignment horizontal="left" vertical="center" indent="1"/>
    </xf>
    <xf numFmtId="14" fontId="39" fillId="0" borderId="0" xfId="0" applyNumberFormat="1" applyFont="1"/>
    <xf numFmtId="0" fontId="34" fillId="0" borderId="35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0" fontId="0" fillId="0" borderId="34" xfId="0" applyBorder="1"/>
    <xf numFmtId="0" fontId="0" fillId="0" borderId="27" xfId="0" applyBorder="1"/>
    <xf numFmtId="0" fontId="0" fillId="0" borderId="36" xfId="0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38" fillId="0" borderId="39" xfId="0" applyFont="1" applyBorder="1" applyAlignment="1">
      <alignment horizontal="center" vertical="center" wrapText="1"/>
    </xf>
    <xf numFmtId="0" fontId="38" fillId="0" borderId="40" xfId="0" applyFont="1" applyBorder="1" applyAlignment="1">
      <alignment horizontal="center" vertical="center" wrapText="1"/>
    </xf>
    <xf numFmtId="0" fontId="34" fillId="0" borderId="41" xfId="0" applyFont="1" applyFill="1" applyBorder="1" applyAlignment="1">
      <alignment horizontal="center" vertical="center"/>
    </xf>
    <xf numFmtId="0" fontId="34" fillId="0" borderId="42" xfId="0" applyFont="1" applyBorder="1" applyAlignment="1">
      <alignment horizontal="left" vertical="center" indent="1"/>
    </xf>
    <xf numFmtId="169" fontId="34" fillId="0" borderId="43" xfId="0" applyNumberFormat="1" applyFont="1" applyBorder="1" applyAlignment="1">
      <alignment horizontal="right" vertical="center"/>
    </xf>
    <xf numFmtId="0" fontId="0" fillId="0" borderId="44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18" fillId="5" borderId="28" xfId="0" applyFont="1" applyFill="1" applyBorder="1" applyAlignment="1">
      <alignment horizontal="center" vertical="center" wrapText="1"/>
    </xf>
    <xf numFmtId="0" fontId="55" fillId="0" borderId="0" xfId="1"/>
    <xf numFmtId="0" fontId="0" fillId="0" borderId="0" xfId="0" applyFill="1" applyBorder="1" applyAlignment="1" applyProtection="1">
      <alignment horizontal="left" vertical="center"/>
    </xf>
    <xf numFmtId="0" fontId="18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Fill="1" applyBorder="1" applyAlignment="1" applyProtection="1">
      <alignment horizontal="left" vertical="center"/>
    </xf>
    <xf numFmtId="0" fontId="3" fillId="0" borderId="46" xfId="0" applyFont="1" applyBorder="1" applyProtection="1"/>
    <xf numFmtId="0" fontId="3" fillId="5" borderId="28" xfId="0" applyFont="1" applyFill="1" applyBorder="1" applyProtection="1"/>
    <xf numFmtId="166" fontId="3" fillId="0" borderId="21" xfId="0" applyNumberFormat="1" applyFont="1" applyFill="1" applyBorder="1" applyAlignment="1" applyProtection="1">
      <alignment horizontal="center" vertical="center"/>
    </xf>
    <xf numFmtId="0" fontId="0" fillId="0" borderId="20" xfId="0" applyBorder="1" applyProtection="1"/>
    <xf numFmtId="0" fontId="27" fillId="0" borderId="26" xfId="0" applyFont="1" applyFill="1" applyBorder="1" applyAlignment="1" applyProtection="1">
      <alignment horizontal="center"/>
    </xf>
    <xf numFmtId="0" fontId="0" fillId="0" borderId="20" xfId="0" applyFill="1" applyBorder="1" applyAlignment="1" applyProtection="1">
      <alignment horizontal="center"/>
    </xf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6" xfId="0" applyBorder="1" applyAlignment="1" applyProtection="1">
      <alignment horizontal="center"/>
    </xf>
    <xf numFmtId="0" fontId="0" fillId="0" borderId="20" xfId="0" applyBorder="1"/>
    <xf numFmtId="0" fontId="0" fillId="0" borderId="21" xfId="0" applyBorder="1"/>
    <xf numFmtId="0" fontId="0" fillId="0" borderId="46" xfId="0" applyBorder="1"/>
    <xf numFmtId="0" fontId="0" fillId="0" borderId="19" xfId="0" applyBorder="1"/>
    <xf numFmtId="0" fontId="0" fillId="2" borderId="20" xfId="0" applyFill="1" applyBorder="1"/>
    <xf numFmtId="0" fontId="0" fillId="0" borderId="45" xfId="0" applyBorder="1"/>
    <xf numFmtId="0" fontId="18" fillId="7" borderId="36" xfId="0" applyFont="1" applyFill="1" applyBorder="1" applyAlignment="1">
      <alignment horizontal="center" vertical="center" wrapText="1"/>
    </xf>
    <xf numFmtId="0" fontId="19" fillId="7" borderId="36" xfId="0" applyFont="1" applyFill="1" applyBorder="1" applyAlignment="1">
      <alignment horizontal="center" vertical="center" wrapText="1"/>
    </xf>
    <xf numFmtId="0" fontId="18" fillId="7" borderId="48" xfId="0" applyFont="1" applyFill="1" applyBorder="1" applyAlignment="1">
      <alignment horizontal="center" vertical="center" wrapText="1"/>
    </xf>
    <xf numFmtId="0" fontId="18" fillId="7" borderId="47" xfId="0" applyFont="1" applyFill="1" applyBorder="1" applyAlignment="1">
      <alignment horizontal="center" vertical="center" wrapText="1"/>
    </xf>
    <xf numFmtId="49" fontId="19" fillId="7" borderId="36" xfId="0" applyNumberFormat="1" applyFont="1" applyFill="1" applyBorder="1" applyAlignment="1">
      <alignment horizontal="center" vertical="center" wrapText="1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172" fontId="0" fillId="0" borderId="0" xfId="0" applyNumberFormat="1" applyBorder="1" applyAlignment="1" applyProtection="1">
      <alignment horizontal="right" vertical="center"/>
    </xf>
    <xf numFmtId="0" fontId="18" fillId="0" borderId="0" xfId="0" applyFont="1" applyBorder="1" applyAlignment="1" applyProtection="1">
      <alignment horizontal="right" vertical="center"/>
    </xf>
    <xf numFmtId="0" fontId="18" fillId="0" borderId="0" xfId="0" applyFont="1" applyBorder="1" applyAlignment="1">
      <alignment horizontal="right" vertical="center"/>
    </xf>
    <xf numFmtId="1" fontId="18" fillId="0" borderId="0" xfId="0" applyNumberFormat="1" applyFont="1" applyBorder="1" applyAlignment="1">
      <alignment horizontal="right" vertical="center"/>
    </xf>
    <xf numFmtId="2" fontId="18" fillId="0" borderId="0" xfId="0" applyNumberFormat="1" applyFont="1" applyBorder="1" applyAlignment="1">
      <alignment horizontal="right" vertical="center"/>
    </xf>
    <xf numFmtId="0" fontId="0" fillId="0" borderId="49" xfId="0" applyBorder="1"/>
    <xf numFmtId="0" fontId="18" fillId="0" borderId="49" xfId="0" applyFont="1" applyBorder="1" applyAlignment="1">
      <alignment horizontal="right" vertical="center"/>
    </xf>
    <xf numFmtId="9" fontId="18" fillId="0" borderId="49" xfId="2" applyNumberFormat="1" applyFont="1" applyBorder="1" applyAlignment="1">
      <alignment horizontal="right" vertical="center"/>
    </xf>
    <xf numFmtId="0" fontId="0" fillId="0" borderId="0" xfId="0" applyBorder="1" applyAlignment="1" applyProtection="1">
      <alignment vertical="center"/>
    </xf>
    <xf numFmtId="0" fontId="18" fillId="4" borderId="49" xfId="0" applyFont="1" applyFill="1" applyBorder="1" applyAlignment="1" applyProtection="1">
      <alignment horizontal="right" vertical="center"/>
      <protection locked="0"/>
    </xf>
    <xf numFmtId="0" fontId="18" fillId="4" borderId="49" xfId="0" applyFont="1" applyFill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</xf>
    <xf numFmtId="2" fontId="32" fillId="4" borderId="49" xfId="0" applyNumberFormat="1" applyFont="1" applyFill="1" applyBorder="1" applyAlignment="1" applyProtection="1">
      <alignment vertical="center"/>
    </xf>
    <xf numFmtId="0" fontId="55" fillId="0" borderId="0" xfId="1" applyBorder="1" applyAlignment="1" applyProtection="1">
      <alignment vertical="center"/>
    </xf>
    <xf numFmtId="2" fontId="32" fillId="4" borderId="49" xfId="0" applyNumberFormat="1" applyFont="1" applyFill="1" applyBorder="1" applyAlignment="1" applyProtection="1">
      <alignment horizontal="right" vertical="center"/>
    </xf>
    <xf numFmtId="0" fontId="21" fillId="0" borderId="0" xfId="0" applyFont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2" fontId="31" fillId="4" borderId="49" xfId="0" applyNumberFormat="1" applyFont="1" applyFill="1" applyBorder="1" applyAlignment="1" applyProtection="1">
      <alignment vertical="center"/>
      <protection locked="0"/>
    </xf>
    <xf numFmtId="2" fontId="31" fillId="4" borderId="49" xfId="0" applyNumberFormat="1" applyFont="1" applyFill="1" applyBorder="1" applyAlignment="1" applyProtection="1">
      <alignment vertical="center"/>
    </xf>
    <xf numFmtId="9" fontId="31" fillId="4" borderId="49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vertical="center"/>
    </xf>
    <xf numFmtId="0" fontId="30" fillId="4" borderId="49" xfId="0" applyFont="1" applyFill="1" applyBorder="1" applyAlignment="1" applyProtection="1">
      <alignment vertical="center"/>
      <protection locked="0"/>
    </xf>
    <xf numFmtId="0" fontId="0" fillId="0" borderId="50" xfId="0" applyBorder="1"/>
    <xf numFmtId="0" fontId="0" fillId="0" borderId="51" xfId="0" applyBorder="1"/>
    <xf numFmtId="0" fontId="0" fillId="5" borderId="0" xfId="0" applyFill="1" applyBorder="1"/>
    <xf numFmtId="0" fontId="0" fillId="0" borderId="52" xfId="0" applyBorder="1"/>
    <xf numFmtId="0" fontId="0" fillId="5" borderId="45" xfId="0" applyFill="1" applyBorder="1"/>
    <xf numFmtId="0" fontId="0" fillId="0" borderId="45" xfId="0" applyFill="1" applyBorder="1" applyAlignment="1" applyProtection="1">
      <alignment horizontal="left" vertical="center"/>
    </xf>
    <xf numFmtId="0" fontId="0" fillId="0" borderId="45" xfId="0" applyBorder="1" applyAlignment="1">
      <alignment horizontal="right" vertical="center"/>
    </xf>
    <xf numFmtId="1" fontId="18" fillId="0" borderId="45" xfId="0" applyNumberFormat="1" applyFont="1" applyBorder="1" applyAlignment="1">
      <alignment horizontal="right" vertical="center"/>
    </xf>
    <xf numFmtId="9" fontId="18" fillId="0" borderId="50" xfId="2" applyNumberFormat="1" applyFont="1" applyBorder="1" applyAlignment="1">
      <alignment horizontal="right" vertical="center"/>
    </xf>
    <xf numFmtId="0" fontId="57" fillId="0" borderId="0" xfId="0" applyFont="1" applyAlignment="1">
      <alignment horizontal="left" vertical="center"/>
    </xf>
    <xf numFmtId="0" fontId="58" fillId="0" borderId="0" xfId="0" applyFont="1" applyAlignment="1">
      <alignment vertical="center"/>
    </xf>
    <xf numFmtId="0" fontId="58" fillId="0" borderId="10" xfId="0" applyFont="1" applyBorder="1" applyAlignment="1">
      <alignment horizontal="center" vertical="center"/>
    </xf>
    <xf numFmtId="168" fontId="18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6" fillId="4" borderId="0" xfId="0" applyNumberFormat="1" applyFont="1" applyFill="1" applyBorder="1" applyAlignment="1" applyProtection="1">
      <alignment horizontal="center"/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1" fontId="8" fillId="4" borderId="25" xfId="0" applyNumberFormat="1" applyFont="1" applyFill="1" applyBorder="1" applyAlignment="1" applyProtection="1">
      <alignment horizontal="center"/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6" fillId="5" borderId="0" xfId="0" applyFont="1" applyFill="1" applyProtection="1">
      <protection locked="0"/>
    </xf>
    <xf numFmtId="171" fontId="26" fillId="5" borderId="0" xfId="0" applyNumberFormat="1" applyFont="1" applyFill="1" applyProtection="1">
      <protection locked="0"/>
    </xf>
    <xf numFmtId="171" fontId="6" fillId="4" borderId="0" xfId="0" applyNumberFormat="1" applyFont="1" applyFill="1" applyAlignment="1" applyProtection="1">
      <alignment horizontal="center"/>
      <protection locked="0"/>
    </xf>
    <xf numFmtId="171" fontId="47" fillId="5" borderId="0" xfId="0" applyNumberFormat="1" applyFont="1" applyFill="1" applyProtection="1">
      <protection locked="0"/>
    </xf>
    <xf numFmtId="0" fontId="20" fillId="5" borderId="0" xfId="0" applyFont="1" applyFill="1" applyProtection="1">
      <protection locked="0"/>
    </xf>
    <xf numFmtId="0" fontId="23" fillId="5" borderId="0" xfId="0" applyFont="1" applyFill="1" applyProtection="1">
      <protection locked="0"/>
    </xf>
    <xf numFmtId="0" fontId="48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1" fontId="11" fillId="4" borderId="25" xfId="0" applyNumberFormat="1" applyFont="1" applyFill="1" applyBorder="1" applyAlignment="1" applyProtection="1">
      <alignment horizontal="center"/>
      <protection locked="0"/>
    </xf>
    <xf numFmtId="164" fontId="9" fillId="4" borderId="25" xfId="0" applyNumberFormat="1" applyFont="1" applyFill="1" applyBorder="1" applyAlignment="1" applyProtection="1">
      <alignment horizontal="center"/>
      <protection locked="0"/>
    </xf>
    <xf numFmtId="0" fontId="59" fillId="0" borderId="53" xfId="0" applyFont="1" applyBorder="1" applyAlignment="1">
      <alignment horizontal="center" vertical="center"/>
    </xf>
    <xf numFmtId="0" fontId="59" fillId="0" borderId="28" xfId="0" applyFont="1" applyBorder="1" applyAlignment="1">
      <alignment horizontal="center" vertical="center"/>
    </xf>
    <xf numFmtId="0" fontId="59" fillId="0" borderId="29" xfId="0" applyFont="1" applyBorder="1" applyAlignment="1">
      <alignment horizontal="center" vertical="center"/>
    </xf>
    <xf numFmtId="0" fontId="58" fillId="0" borderId="53" xfId="0" applyFont="1" applyBorder="1" applyAlignment="1">
      <alignment horizontal="center" vertical="center"/>
    </xf>
    <xf numFmtId="0" fontId="58" fillId="0" borderId="28" xfId="0" applyFont="1" applyBorder="1" applyAlignment="1">
      <alignment horizontal="center" vertical="center"/>
    </xf>
    <xf numFmtId="0" fontId="58" fillId="0" borderId="29" xfId="0" applyFont="1" applyBorder="1" applyAlignment="1">
      <alignment horizontal="center" vertical="center"/>
    </xf>
    <xf numFmtId="0" fontId="13" fillId="7" borderId="45" xfId="0" applyFont="1" applyFill="1" applyBorder="1" applyAlignment="1" applyProtection="1">
      <alignment horizontal="center" vertical="center" wrapText="1"/>
    </xf>
    <xf numFmtId="0" fontId="0" fillId="7" borderId="36" xfId="0" applyFill="1" applyBorder="1" applyAlignment="1">
      <alignment vertical="center"/>
    </xf>
    <xf numFmtId="0" fontId="42" fillId="7" borderId="32" xfId="0" applyFont="1" applyFill="1" applyBorder="1" applyAlignment="1" applyProtection="1">
      <alignment horizontal="center" vertical="center" wrapText="1"/>
    </xf>
    <xf numFmtId="0" fontId="43" fillId="7" borderId="36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/>
    </xf>
    <xf numFmtId="0" fontId="13" fillId="7" borderId="48" xfId="0" applyFont="1" applyFill="1" applyBorder="1" applyAlignment="1" applyProtection="1">
      <alignment horizontal="center" vertical="center" wrapText="1"/>
    </xf>
    <xf numFmtId="0" fontId="10" fillId="7" borderId="47" xfId="0" applyFont="1" applyFill="1" applyBorder="1" applyAlignment="1" applyProtection="1">
      <alignment vertical="center"/>
    </xf>
    <xf numFmtId="0" fontId="18" fillId="7" borderId="15" xfId="0" applyFont="1" applyFill="1" applyBorder="1" applyAlignment="1">
      <alignment horizontal="center" vertical="center" wrapText="1"/>
    </xf>
    <xf numFmtId="0" fontId="18" fillId="7" borderId="1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8" fillId="0" borderId="0" xfId="0" applyFont="1" applyBorder="1" applyAlignment="1">
      <alignment horizontal="center"/>
    </xf>
    <xf numFmtId="0" fontId="18" fillId="0" borderId="4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0" borderId="0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8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charset val="204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6633"/>
      <color rgb="FFFF7C80"/>
      <color rgb="FFC6EFCE"/>
      <color rgb="FFC66063"/>
      <color rgb="FF9ABAA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Сетка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таблица'!$G$17:$G$116</c:f>
              <c:numCache>
                <c:formatCode>0;[Red]0</c:formatCode>
                <c:ptCount val="100"/>
                <c:pt idx="0">
                  <c:v>0</c:v>
                </c:pt>
                <c:pt idx="1">
                  <c:v>86</c:v>
                </c:pt>
                <c:pt idx="2">
                  <c:v>172</c:v>
                </c:pt>
                <c:pt idx="3">
                  <c:v>181</c:v>
                </c:pt>
                <c:pt idx="4">
                  <c:v>190</c:v>
                </c:pt>
                <c:pt idx="5">
                  <c:v>199</c:v>
                </c:pt>
                <c:pt idx="6">
                  <c:v>208</c:v>
                </c:pt>
                <c:pt idx="7">
                  <c:v>217</c:v>
                </c:pt>
                <c:pt idx="8">
                  <c:v>226</c:v>
                </c:pt>
                <c:pt idx="9">
                  <c:v>235</c:v>
                </c:pt>
                <c:pt idx="10">
                  <c:v>244</c:v>
                </c:pt>
                <c:pt idx="11">
                  <c:v>253</c:v>
                </c:pt>
                <c:pt idx="12">
                  <c:v>262</c:v>
                </c:pt>
                <c:pt idx="13">
                  <c:v>271</c:v>
                </c:pt>
                <c:pt idx="14">
                  <c:v>280</c:v>
                </c:pt>
                <c:pt idx="15">
                  <c:v>289</c:v>
                </c:pt>
                <c:pt idx="16">
                  <c:v>298</c:v>
                </c:pt>
                <c:pt idx="17">
                  <c:v>307</c:v>
                </c:pt>
                <c:pt idx="18">
                  <c:v>316</c:v>
                </c:pt>
                <c:pt idx="19">
                  <c:v>325</c:v>
                </c:pt>
                <c:pt idx="20">
                  <c:v>334</c:v>
                </c:pt>
                <c:pt idx="21">
                  <c:v>343</c:v>
                </c:pt>
                <c:pt idx="22">
                  <c:v>352</c:v>
                </c:pt>
                <c:pt idx="23">
                  <c:v>361</c:v>
                </c:pt>
                <c:pt idx="24">
                  <c:v>370</c:v>
                </c:pt>
                <c:pt idx="25">
                  <c:v>379</c:v>
                </c:pt>
                <c:pt idx="26">
                  <c:v>388</c:v>
                </c:pt>
                <c:pt idx="27">
                  <c:v>397</c:v>
                </c:pt>
                <c:pt idx="28">
                  <c:v>406</c:v>
                </c:pt>
                <c:pt idx="29">
                  <c:v>415</c:v>
                </c:pt>
                <c:pt idx="30">
                  <c:v>424</c:v>
                </c:pt>
                <c:pt idx="31">
                  <c:v>433</c:v>
                </c:pt>
                <c:pt idx="32">
                  <c:v>442</c:v>
                </c:pt>
                <c:pt idx="33">
                  <c:v>451</c:v>
                </c:pt>
                <c:pt idx="34">
                  <c:v>460</c:v>
                </c:pt>
                <c:pt idx="35">
                  <c:v>469</c:v>
                </c:pt>
                <c:pt idx="36">
                  <c:v>478</c:v>
                </c:pt>
                <c:pt idx="37">
                  <c:v>487</c:v>
                </c:pt>
                <c:pt idx="38">
                  <c:v>496</c:v>
                </c:pt>
                <c:pt idx="39">
                  <c:v>505</c:v>
                </c:pt>
                <c:pt idx="40">
                  <c:v>514</c:v>
                </c:pt>
                <c:pt idx="41">
                  <c:v>523</c:v>
                </c:pt>
                <c:pt idx="42">
                  <c:v>532</c:v>
                </c:pt>
                <c:pt idx="43">
                  <c:v>541</c:v>
                </c:pt>
                <c:pt idx="44">
                  <c:v>550</c:v>
                </c:pt>
                <c:pt idx="45">
                  <c:v>559</c:v>
                </c:pt>
                <c:pt idx="46">
                  <c:v>568</c:v>
                </c:pt>
                <c:pt idx="47">
                  <c:v>577</c:v>
                </c:pt>
                <c:pt idx="48">
                  <c:v>586</c:v>
                </c:pt>
                <c:pt idx="49">
                  <c:v>595</c:v>
                </c:pt>
                <c:pt idx="50">
                  <c:v>604</c:v>
                </c:pt>
                <c:pt idx="51">
                  <c:v>613</c:v>
                </c:pt>
                <c:pt idx="52">
                  <c:v>622</c:v>
                </c:pt>
                <c:pt idx="53">
                  <c:v>631</c:v>
                </c:pt>
                <c:pt idx="54">
                  <c:v>640</c:v>
                </c:pt>
                <c:pt idx="55">
                  <c:v>649</c:v>
                </c:pt>
                <c:pt idx="56">
                  <c:v>658</c:v>
                </c:pt>
                <c:pt idx="57">
                  <c:v>667</c:v>
                </c:pt>
                <c:pt idx="58">
                  <c:v>676</c:v>
                </c:pt>
                <c:pt idx="59">
                  <c:v>685</c:v>
                </c:pt>
                <c:pt idx="60">
                  <c:v>694</c:v>
                </c:pt>
                <c:pt idx="61">
                  <c:v>703</c:v>
                </c:pt>
                <c:pt idx="62">
                  <c:v>712</c:v>
                </c:pt>
                <c:pt idx="63">
                  <c:v>721</c:v>
                </c:pt>
                <c:pt idx="64">
                  <c:v>730</c:v>
                </c:pt>
                <c:pt idx="65">
                  <c:v>739</c:v>
                </c:pt>
                <c:pt idx="66">
                  <c:v>748</c:v>
                </c:pt>
                <c:pt idx="67">
                  <c:v>757</c:v>
                </c:pt>
                <c:pt idx="68">
                  <c:v>766</c:v>
                </c:pt>
                <c:pt idx="69">
                  <c:v>775</c:v>
                </c:pt>
                <c:pt idx="70">
                  <c:v>784</c:v>
                </c:pt>
                <c:pt idx="71">
                  <c:v>793</c:v>
                </c:pt>
                <c:pt idx="72">
                  <c:v>802</c:v>
                </c:pt>
                <c:pt idx="73">
                  <c:v>811</c:v>
                </c:pt>
                <c:pt idx="74">
                  <c:v>820</c:v>
                </c:pt>
                <c:pt idx="75">
                  <c:v>829</c:v>
                </c:pt>
                <c:pt idx="76">
                  <c:v>838</c:v>
                </c:pt>
                <c:pt idx="77">
                  <c:v>847</c:v>
                </c:pt>
                <c:pt idx="78">
                  <c:v>856</c:v>
                </c:pt>
                <c:pt idx="79">
                  <c:v>865</c:v>
                </c:pt>
                <c:pt idx="80">
                  <c:v>874</c:v>
                </c:pt>
                <c:pt idx="81">
                  <c:v>883</c:v>
                </c:pt>
                <c:pt idx="82">
                  <c:v>892</c:v>
                </c:pt>
                <c:pt idx="83">
                  <c:v>901</c:v>
                </c:pt>
                <c:pt idx="84">
                  <c:v>910</c:v>
                </c:pt>
                <c:pt idx="85">
                  <c:v>919</c:v>
                </c:pt>
                <c:pt idx="86">
                  <c:v>928</c:v>
                </c:pt>
                <c:pt idx="87">
                  <c:v>937</c:v>
                </c:pt>
                <c:pt idx="88">
                  <c:v>946</c:v>
                </c:pt>
                <c:pt idx="89">
                  <c:v>955</c:v>
                </c:pt>
                <c:pt idx="90">
                  <c:v>964</c:v>
                </c:pt>
                <c:pt idx="91">
                  <c:v>973</c:v>
                </c:pt>
                <c:pt idx="92">
                  <c:v>982</c:v>
                </c:pt>
                <c:pt idx="93">
                  <c:v>991</c:v>
                </c:pt>
                <c:pt idx="94">
                  <c:v>1000</c:v>
                </c:pt>
                <c:pt idx="95">
                  <c:v>1009</c:v>
                </c:pt>
                <c:pt idx="96">
                  <c:v>1018</c:v>
                </c:pt>
                <c:pt idx="97">
                  <c:v>1027</c:v>
                </c:pt>
                <c:pt idx="98">
                  <c:v>1036</c:v>
                </c:pt>
                <c:pt idx="99">
                  <c:v>1045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val>
            <c:numRef>
              <c:f>'Сводная таблица'!$S$17:$S$116</c:f>
              <c:numCache>
                <c:formatCode>0;[Red]0</c:formatCode>
                <c:ptCount val="100"/>
                <c:pt idx="0">
                  <c:v>9</c:v>
                </c:pt>
                <c:pt idx="1">
                  <c:v>66</c:v>
                </c:pt>
                <c:pt idx="2">
                  <c:v>117</c:v>
                </c:pt>
                <c:pt idx="3">
                  <c:v>103</c:v>
                </c:pt>
                <c:pt idx="4">
                  <c:v>84</c:v>
                </c:pt>
                <c:pt idx="5">
                  <c:v>76</c:v>
                </c:pt>
                <c:pt idx="6">
                  <c:v>73</c:v>
                </c:pt>
                <c:pt idx="7">
                  <c:v>72</c:v>
                </c:pt>
                <c:pt idx="8">
                  <c:v>73</c:v>
                </c:pt>
                <c:pt idx="9">
                  <c:v>72</c:v>
                </c:pt>
                <c:pt idx="10">
                  <c:v>73</c:v>
                </c:pt>
                <c:pt idx="11">
                  <c:v>75</c:v>
                </c:pt>
                <c:pt idx="12">
                  <c:v>76</c:v>
                </c:pt>
                <c:pt idx="13">
                  <c:v>79</c:v>
                </c:pt>
                <c:pt idx="14">
                  <c:v>79</c:v>
                </c:pt>
                <c:pt idx="15">
                  <c:v>81</c:v>
                </c:pt>
                <c:pt idx="16">
                  <c:v>83</c:v>
                </c:pt>
                <c:pt idx="17">
                  <c:v>86</c:v>
                </c:pt>
                <c:pt idx="18">
                  <c:v>89</c:v>
                </c:pt>
                <c:pt idx="19">
                  <c:v>90</c:v>
                </c:pt>
                <c:pt idx="20">
                  <c:v>93</c:v>
                </c:pt>
                <c:pt idx="21">
                  <c:v>95</c:v>
                </c:pt>
                <c:pt idx="22">
                  <c:v>98</c:v>
                </c:pt>
                <c:pt idx="23">
                  <c:v>101</c:v>
                </c:pt>
                <c:pt idx="24">
                  <c:v>103</c:v>
                </c:pt>
                <c:pt idx="25">
                  <c:v>106</c:v>
                </c:pt>
                <c:pt idx="26">
                  <c:v>108</c:v>
                </c:pt>
                <c:pt idx="27">
                  <c:v>111</c:v>
                </c:pt>
                <c:pt idx="28">
                  <c:v>115</c:v>
                </c:pt>
                <c:pt idx="29">
                  <c:v>117</c:v>
                </c:pt>
                <c:pt idx="30">
                  <c:v>120</c:v>
                </c:pt>
                <c:pt idx="31">
                  <c:v>122</c:v>
                </c:pt>
                <c:pt idx="32">
                  <c:v>126</c:v>
                </c:pt>
                <c:pt idx="33">
                  <c:v>129</c:v>
                </c:pt>
                <c:pt idx="34">
                  <c:v>131</c:v>
                </c:pt>
                <c:pt idx="35">
                  <c:v>134</c:v>
                </c:pt>
                <c:pt idx="36">
                  <c:v>137</c:v>
                </c:pt>
                <c:pt idx="37">
                  <c:v>140</c:v>
                </c:pt>
                <c:pt idx="38">
                  <c:v>143</c:v>
                </c:pt>
                <c:pt idx="39">
                  <c:v>146</c:v>
                </c:pt>
                <c:pt idx="40">
                  <c:v>148</c:v>
                </c:pt>
                <c:pt idx="41">
                  <c:v>151</c:v>
                </c:pt>
                <c:pt idx="42">
                  <c:v>154</c:v>
                </c:pt>
                <c:pt idx="43">
                  <c:v>158</c:v>
                </c:pt>
                <c:pt idx="44">
                  <c:v>160</c:v>
                </c:pt>
                <c:pt idx="45">
                  <c:v>163</c:v>
                </c:pt>
                <c:pt idx="46">
                  <c:v>166</c:v>
                </c:pt>
                <c:pt idx="47">
                  <c:v>169</c:v>
                </c:pt>
                <c:pt idx="48">
                  <c:v>172</c:v>
                </c:pt>
                <c:pt idx="49">
                  <c:v>175</c:v>
                </c:pt>
                <c:pt idx="50">
                  <c:v>178</c:v>
                </c:pt>
                <c:pt idx="51">
                  <c:v>181</c:v>
                </c:pt>
                <c:pt idx="52">
                  <c:v>184</c:v>
                </c:pt>
                <c:pt idx="53">
                  <c:v>187</c:v>
                </c:pt>
                <c:pt idx="54">
                  <c:v>190</c:v>
                </c:pt>
                <c:pt idx="55">
                  <c:v>193</c:v>
                </c:pt>
                <c:pt idx="56">
                  <c:v>196</c:v>
                </c:pt>
                <c:pt idx="57">
                  <c:v>199</c:v>
                </c:pt>
                <c:pt idx="58">
                  <c:v>202</c:v>
                </c:pt>
                <c:pt idx="59">
                  <c:v>205</c:v>
                </c:pt>
                <c:pt idx="60">
                  <c:v>208</c:v>
                </c:pt>
                <c:pt idx="61">
                  <c:v>211</c:v>
                </c:pt>
                <c:pt idx="62">
                  <c:v>214</c:v>
                </c:pt>
                <c:pt idx="63">
                  <c:v>217</c:v>
                </c:pt>
                <c:pt idx="64">
                  <c:v>220</c:v>
                </c:pt>
                <c:pt idx="65">
                  <c:v>223</c:v>
                </c:pt>
                <c:pt idx="66">
                  <c:v>226</c:v>
                </c:pt>
                <c:pt idx="67">
                  <c:v>229</c:v>
                </c:pt>
                <c:pt idx="68">
                  <c:v>232</c:v>
                </c:pt>
                <c:pt idx="69">
                  <c:v>235</c:v>
                </c:pt>
                <c:pt idx="70">
                  <c:v>237</c:v>
                </c:pt>
                <c:pt idx="71">
                  <c:v>240</c:v>
                </c:pt>
                <c:pt idx="72">
                  <c:v>243</c:v>
                </c:pt>
                <c:pt idx="73">
                  <c:v>247</c:v>
                </c:pt>
                <c:pt idx="74">
                  <c:v>249</c:v>
                </c:pt>
                <c:pt idx="75">
                  <c:v>252</c:v>
                </c:pt>
                <c:pt idx="76">
                  <c:v>255</c:v>
                </c:pt>
                <c:pt idx="77">
                  <c:v>258</c:v>
                </c:pt>
                <c:pt idx="78">
                  <c:v>262</c:v>
                </c:pt>
                <c:pt idx="79">
                  <c:v>264</c:v>
                </c:pt>
                <c:pt idx="80">
                  <c:v>267</c:v>
                </c:pt>
                <c:pt idx="81">
                  <c:v>270</c:v>
                </c:pt>
                <c:pt idx="82">
                  <c:v>273</c:v>
                </c:pt>
                <c:pt idx="83">
                  <c:v>276</c:v>
                </c:pt>
                <c:pt idx="84">
                  <c:v>279</c:v>
                </c:pt>
                <c:pt idx="85">
                  <c:v>282</c:v>
                </c:pt>
                <c:pt idx="86">
                  <c:v>285</c:v>
                </c:pt>
                <c:pt idx="87">
                  <c:v>288</c:v>
                </c:pt>
                <c:pt idx="88">
                  <c:v>291</c:v>
                </c:pt>
                <c:pt idx="89">
                  <c:v>294</c:v>
                </c:pt>
                <c:pt idx="90">
                  <c:v>297</c:v>
                </c:pt>
                <c:pt idx="91">
                  <c:v>300</c:v>
                </c:pt>
                <c:pt idx="92">
                  <c:v>303</c:v>
                </c:pt>
                <c:pt idx="93">
                  <c:v>306</c:v>
                </c:pt>
                <c:pt idx="94">
                  <c:v>309</c:v>
                </c:pt>
                <c:pt idx="95">
                  <c:v>312</c:v>
                </c:pt>
                <c:pt idx="96">
                  <c:v>315</c:v>
                </c:pt>
                <c:pt idx="97">
                  <c:v>318</c:v>
                </c:pt>
                <c:pt idx="98">
                  <c:v>321</c:v>
                </c:pt>
                <c:pt idx="99">
                  <c:v>324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4"/>
          <c:tx>
            <c:v>Безубыток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'Сводная таблица'!$Q$17:$Q$116</c:f>
              <c:numCache>
                <c:formatCode>General</c:formatCode>
                <c:ptCount val="100"/>
                <c:pt idx="0">
                  <c:v>0</c:v>
                </c:pt>
                <c:pt idx="1">
                  <c:v>57</c:v>
                </c:pt>
                <c:pt idx="2">
                  <c:v>108</c:v>
                </c:pt>
                <c:pt idx="3">
                  <c:v>93</c:v>
                </c:pt>
                <c:pt idx="4">
                  <c:v>73</c:v>
                </c:pt>
                <c:pt idx="5">
                  <c:v>64</c:v>
                </c:pt>
                <c:pt idx="6">
                  <c:v>60</c:v>
                </c:pt>
                <c:pt idx="7">
                  <c:v>58</c:v>
                </c:pt>
                <c:pt idx="8">
                  <c:v>58</c:v>
                </c:pt>
                <c:pt idx="9">
                  <c:v>56</c:v>
                </c:pt>
                <c:pt idx="10">
                  <c:v>56</c:v>
                </c:pt>
                <c:pt idx="11">
                  <c:v>57</c:v>
                </c:pt>
                <c:pt idx="12">
                  <c:v>58</c:v>
                </c:pt>
                <c:pt idx="13">
                  <c:v>61</c:v>
                </c:pt>
                <c:pt idx="14">
                  <c:v>61</c:v>
                </c:pt>
                <c:pt idx="15">
                  <c:v>63</c:v>
                </c:pt>
                <c:pt idx="16">
                  <c:v>65</c:v>
                </c:pt>
                <c:pt idx="17">
                  <c:v>68</c:v>
                </c:pt>
                <c:pt idx="18">
                  <c:v>71</c:v>
                </c:pt>
                <c:pt idx="19">
                  <c:v>72</c:v>
                </c:pt>
                <c:pt idx="20">
                  <c:v>75</c:v>
                </c:pt>
                <c:pt idx="21">
                  <c:v>77</c:v>
                </c:pt>
                <c:pt idx="22">
                  <c:v>80</c:v>
                </c:pt>
                <c:pt idx="23">
                  <c:v>83</c:v>
                </c:pt>
                <c:pt idx="24">
                  <c:v>85</c:v>
                </c:pt>
                <c:pt idx="25">
                  <c:v>88</c:v>
                </c:pt>
                <c:pt idx="26">
                  <c:v>90</c:v>
                </c:pt>
                <c:pt idx="27">
                  <c:v>93</c:v>
                </c:pt>
                <c:pt idx="28">
                  <c:v>97</c:v>
                </c:pt>
                <c:pt idx="29">
                  <c:v>99</c:v>
                </c:pt>
                <c:pt idx="30">
                  <c:v>102</c:v>
                </c:pt>
                <c:pt idx="31">
                  <c:v>104</c:v>
                </c:pt>
                <c:pt idx="32">
                  <c:v>108</c:v>
                </c:pt>
                <c:pt idx="33">
                  <c:v>111</c:v>
                </c:pt>
                <c:pt idx="34">
                  <c:v>113</c:v>
                </c:pt>
                <c:pt idx="35">
                  <c:v>116</c:v>
                </c:pt>
                <c:pt idx="36">
                  <c:v>119</c:v>
                </c:pt>
                <c:pt idx="37">
                  <c:v>122</c:v>
                </c:pt>
                <c:pt idx="38">
                  <c:v>125</c:v>
                </c:pt>
                <c:pt idx="39">
                  <c:v>128</c:v>
                </c:pt>
                <c:pt idx="40">
                  <c:v>130</c:v>
                </c:pt>
                <c:pt idx="41">
                  <c:v>133</c:v>
                </c:pt>
                <c:pt idx="42">
                  <c:v>136</c:v>
                </c:pt>
                <c:pt idx="43">
                  <c:v>140</c:v>
                </c:pt>
                <c:pt idx="44">
                  <c:v>142</c:v>
                </c:pt>
                <c:pt idx="45">
                  <c:v>145</c:v>
                </c:pt>
                <c:pt idx="46">
                  <c:v>148</c:v>
                </c:pt>
                <c:pt idx="47">
                  <c:v>151</c:v>
                </c:pt>
                <c:pt idx="48">
                  <c:v>154</c:v>
                </c:pt>
                <c:pt idx="49">
                  <c:v>157</c:v>
                </c:pt>
                <c:pt idx="50">
                  <c:v>160</c:v>
                </c:pt>
                <c:pt idx="51">
                  <c:v>163</c:v>
                </c:pt>
                <c:pt idx="52">
                  <c:v>166</c:v>
                </c:pt>
                <c:pt idx="53">
                  <c:v>169</c:v>
                </c:pt>
                <c:pt idx="54">
                  <c:v>172</c:v>
                </c:pt>
                <c:pt idx="55">
                  <c:v>175</c:v>
                </c:pt>
                <c:pt idx="56">
                  <c:v>178</c:v>
                </c:pt>
                <c:pt idx="57">
                  <c:v>181</c:v>
                </c:pt>
                <c:pt idx="58">
                  <c:v>184</c:v>
                </c:pt>
                <c:pt idx="59">
                  <c:v>187</c:v>
                </c:pt>
                <c:pt idx="60">
                  <c:v>190</c:v>
                </c:pt>
                <c:pt idx="61">
                  <c:v>193</c:v>
                </c:pt>
                <c:pt idx="62">
                  <c:v>196</c:v>
                </c:pt>
                <c:pt idx="63">
                  <c:v>199</c:v>
                </c:pt>
                <c:pt idx="64">
                  <c:v>202</c:v>
                </c:pt>
                <c:pt idx="65">
                  <c:v>205</c:v>
                </c:pt>
                <c:pt idx="66">
                  <c:v>208</c:v>
                </c:pt>
                <c:pt idx="67">
                  <c:v>211</c:v>
                </c:pt>
                <c:pt idx="68">
                  <c:v>214</c:v>
                </c:pt>
                <c:pt idx="69">
                  <c:v>217</c:v>
                </c:pt>
                <c:pt idx="70">
                  <c:v>219</c:v>
                </c:pt>
                <c:pt idx="71">
                  <c:v>222</c:v>
                </c:pt>
                <c:pt idx="72">
                  <c:v>225</c:v>
                </c:pt>
                <c:pt idx="73">
                  <c:v>229</c:v>
                </c:pt>
                <c:pt idx="74">
                  <c:v>231</c:v>
                </c:pt>
                <c:pt idx="75">
                  <c:v>234</c:v>
                </c:pt>
                <c:pt idx="76">
                  <c:v>237</c:v>
                </c:pt>
                <c:pt idx="77">
                  <c:v>240</c:v>
                </c:pt>
                <c:pt idx="78">
                  <c:v>244</c:v>
                </c:pt>
                <c:pt idx="79">
                  <c:v>246</c:v>
                </c:pt>
                <c:pt idx="80">
                  <c:v>249</c:v>
                </c:pt>
                <c:pt idx="81">
                  <c:v>252</c:v>
                </c:pt>
                <c:pt idx="82">
                  <c:v>255</c:v>
                </c:pt>
                <c:pt idx="83">
                  <c:v>258</c:v>
                </c:pt>
                <c:pt idx="84">
                  <c:v>261</c:v>
                </c:pt>
                <c:pt idx="85">
                  <c:v>264</c:v>
                </c:pt>
                <c:pt idx="86">
                  <c:v>267</c:v>
                </c:pt>
                <c:pt idx="87">
                  <c:v>270</c:v>
                </c:pt>
                <c:pt idx="88">
                  <c:v>273</c:v>
                </c:pt>
                <c:pt idx="89">
                  <c:v>276</c:v>
                </c:pt>
                <c:pt idx="90">
                  <c:v>279</c:v>
                </c:pt>
                <c:pt idx="91">
                  <c:v>282</c:v>
                </c:pt>
                <c:pt idx="92">
                  <c:v>285</c:v>
                </c:pt>
                <c:pt idx="93">
                  <c:v>288</c:v>
                </c:pt>
                <c:pt idx="94">
                  <c:v>291</c:v>
                </c:pt>
                <c:pt idx="95">
                  <c:v>294</c:v>
                </c:pt>
                <c:pt idx="96">
                  <c:v>297</c:v>
                </c:pt>
                <c:pt idx="97">
                  <c:v>300</c:v>
                </c:pt>
                <c:pt idx="98">
                  <c:v>303</c:v>
                </c:pt>
                <c:pt idx="99">
                  <c:v>306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3"/>
          <c:order val="2"/>
          <c:tx>
            <c:v>Свободная маржа</c:v>
          </c:tx>
          <c:spPr>
            <a:ln w="1905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val>
            <c:numRef>
              <c:f>'Сводная таблица'!$AA$17:$AA$116</c:f>
              <c:numCache>
                <c:formatCode>0_ ;[Red]\-0\ </c:formatCode>
                <c:ptCount val="100"/>
                <c:pt idx="0">
                  <c:v>2995.7</c:v>
                </c:pt>
                <c:pt idx="1">
                  <c:v>2976.34</c:v>
                </c:pt>
                <c:pt idx="2">
                  <c:v>2948.39</c:v>
                </c:pt>
                <c:pt idx="3">
                  <c:v>2942.64</c:v>
                </c:pt>
                <c:pt idx="4">
                  <c:v>2933.84</c:v>
                </c:pt>
                <c:pt idx="5">
                  <c:v>2923.23</c:v>
                </c:pt>
                <c:pt idx="6">
                  <c:v>2910.83</c:v>
                </c:pt>
                <c:pt idx="7">
                  <c:v>2896.62</c:v>
                </c:pt>
                <c:pt idx="8">
                  <c:v>2880.62</c:v>
                </c:pt>
                <c:pt idx="9">
                  <c:v>2860.66</c:v>
                </c:pt>
                <c:pt idx="10">
                  <c:v>2838.01</c:v>
                </c:pt>
                <c:pt idx="11">
                  <c:v>2812.65</c:v>
                </c:pt>
                <c:pt idx="12">
                  <c:v>2784.6</c:v>
                </c:pt>
                <c:pt idx="13">
                  <c:v>2753.84</c:v>
                </c:pt>
                <c:pt idx="14">
                  <c:v>2718.23</c:v>
                </c:pt>
                <c:pt idx="15">
                  <c:v>2679.02</c:v>
                </c:pt>
                <c:pt idx="16">
                  <c:v>2636.22</c:v>
                </c:pt>
                <c:pt idx="17">
                  <c:v>2589.81</c:v>
                </c:pt>
                <c:pt idx="18">
                  <c:v>2539.8000000000002</c:v>
                </c:pt>
                <c:pt idx="19">
                  <c:v>2484.04</c:v>
                </c:pt>
                <c:pt idx="20">
                  <c:v>2423.7800000000002</c:v>
                </c:pt>
                <c:pt idx="21">
                  <c:v>2359.02</c:v>
                </c:pt>
                <c:pt idx="22">
                  <c:v>2289.7600000000002</c:v>
                </c:pt>
                <c:pt idx="23">
                  <c:v>2216</c:v>
                </c:pt>
                <c:pt idx="24">
                  <c:v>2135.59</c:v>
                </c:pt>
                <c:pt idx="25">
                  <c:v>2049.7800000000002</c:v>
                </c:pt>
                <c:pt idx="26">
                  <c:v>1958.56</c:v>
                </c:pt>
                <c:pt idx="27">
                  <c:v>1861.95</c:v>
                </c:pt>
                <c:pt idx="28">
                  <c:v>1759.94</c:v>
                </c:pt>
                <c:pt idx="29">
                  <c:v>1650.38</c:v>
                </c:pt>
                <c:pt idx="30">
                  <c:v>1534.51</c:v>
                </c:pt>
                <c:pt idx="31">
                  <c:v>1412.35</c:v>
                </c:pt>
                <c:pt idx="32">
                  <c:v>1283.8800000000001</c:v>
                </c:pt>
                <c:pt idx="33">
                  <c:v>1149.1199999999999</c:v>
                </c:pt>
                <c:pt idx="34">
                  <c:v>1005.9</c:v>
                </c:pt>
                <c:pt idx="35">
                  <c:v>855.49</c:v>
                </c:pt>
                <c:pt idx="36">
                  <c:v>697.87</c:v>
                </c:pt>
                <c:pt idx="37">
                  <c:v>533.05999999999995</c:v>
                </c:pt>
                <c:pt idx="38">
                  <c:v>361.04</c:v>
                </c:pt>
                <c:pt idx="39">
                  <c:v>179.67</c:v>
                </c:pt>
                <c:pt idx="40">
                  <c:v>-9.8000000000000007</c:v>
                </c:pt>
                <c:pt idx="41">
                  <c:v>-207.36</c:v>
                </c:pt>
                <c:pt idx="42">
                  <c:v>-413.03</c:v>
                </c:pt>
                <c:pt idx="43">
                  <c:v>-626.79999999999995</c:v>
                </c:pt>
                <c:pt idx="44">
                  <c:v>-850.82</c:v>
                </c:pt>
                <c:pt idx="45">
                  <c:v>-1083.8399999999999</c:v>
                </c:pt>
                <c:pt idx="46">
                  <c:v>-1325.86</c:v>
                </c:pt>
                <c:pt idx="47">
                  <c:v>-1576.88</c:v>
                </c:pt>
                <c:pt idx="48">
                  <c:v>-1836.9</c:v>
                </c:pt>
                <c:pt idx="49">
                  <c:v>-2108.0700000000002</c:v>
                </c:pt>
                <c:pt idx="50">
                  <c:v>-2389.14</c:v>
                </c:pt>
                <c:pt idx="51">
                  <c:v>-2680.12</c:v>
                </c:pt>
                <c:pt idx="52">
                  <c:v>-2980.99</c:v>
                </c:pt>
                <c:pt idx="53">
                  <c:v>-3291.76</c:v>
                </c:pt>
                <c:pt idx="54">
                  <c:v>-3614.58</c:v>
                </c:pt>
                <c:pt idx="55">
                  <c:v>-3948.21</c:v>
                </c:pt>
                <c:pt idx="56">
                  <c:v>-4292.63</c:v>
                </c:pt>
                <c:pt idx="57">
                  <c:v>-4647.8599999999997</c:v>
                </c:pt>
                <c:pt idx="58">
                  <c:v>-5013.88</c:v>
                </c:pt>
                <c:pt idx="59">
                  <c:v>-5392.86</c:v>
                </c:pt>
                <c:pt idx="60">
                  <c:v>-5783.53</c:v>
                </c:pt>
                <c:pt idx="61">
                  <c:v>-6185.91</c:v>
                </c:pt>
                <c:pt idx="62">
                  <c:v>-6599.98</c:v>
                </c:pt>
                <c:pt idx="63">
                  <c:v>-7025.76</c:v>
                </c:pt>
                <c:pt idx="64">
                  <c:v>-7465.39</c:v>
                </c:pt>
                <c:pt idx="65">
                  <c:v>-7917.62</c:v>
                </c:pt>
                <c:pt idx="66">
                  <c:v>-8382.44</c:v>
                </c:pt>
                <c:pt idx="67">
                  <c:v>-8859.8700000000008</c:v>
                </c:pt>
                <c:pt idx="68">
                  <c:v>-9349.9</c:v>
                </c:pt>
                <c:pt idx="69">
                  <c:v>-9854.68</c:v>
                </c:pt>
                <c:pt idx="70">
                  <c:v>-10372.959999999999</c:v>
                </c:pt>
                <c:pt idx="71">
                  <c:v>-10904.74</c:v>
                </c:pt>
                <c:pt idx="72">
                  <c:v>-11450.02</c:v>
                </c:pt>
                <c:pt idx="73">
                  <c:v>-12008.8</c:v>
                </c:pt>
                <c:pt idx="74">
                  <c:v>-12583.23</c:v>
                </c:pt>
                <c:pt idx="75">
                  <c:v>-13172.06</c:v>
                </c:pt>
                <c:pt idx="76">
                  <c:v>-13775.3</c:v>
                </c:pt>
                <c:pt idx="77">
                  <c:v>-14392.93</c:v>
                </c:pt>
                <c:pt idx="78">
                  <c:v>-15024.96</c:v>
                </c:pt>
                <c:pt idx="79">
                  <c:v>-15673.54</c:v>
                </c:pt>
                <c:pt idx="80">
                  <c:v>-16337.43</c:v>
                </c:pt>
                <c:pt idx="81">
                  <c:v>-17016.61</c:v>
                </c:pt>
                <c:pt idx="82">
                  <c:v>-17711.099999999999</c:v>
                </c:pt>
                <c:pt idx="83">
                  <c:v>-18420.88</c:v>
                </c:pt>
                <c:pt idx="84">
                  <c:v>-19148.12</c:v>
                </c:pt>
                <c:pt idx="85">
                  <c:v>-19891.55</c:v>
                </c:pt>
                <c:pt idx="86">
                  <c:v>-20651.189999999999</c:v>
                </c:pt>
                <c:pt idx="87">
                  <c:v>-21427.02</c:v>
                </c:pt>
                <c:pt idx="88">
                  <c:v>-22219.06</c:v>
                </c:pt>
                <c:pt idx="89">
                  <c:v>-23029.45</c:v>
                </c:pt>
                <c:pt idx="90">
                  <c:v>-23856.94</c:v>
                </c:pt>
                <c:pt idx="91">
                  <c:v>-24701.52</c:v>
                </c:pt>
                <c:pt idx="92">
                  <c:v>-25563.21</c:v>
                </c:pt>
                <c:pt idx="93">
                  <c:v>-26442</c:v>
                </c:pt>
                <c:pt idx="94">
                  <c:v>-27340.04</c:v>
                </c:pt>
                <c:pt idx="95">
                  <c:v>-28256.080000000002</c:v>
                </c:pt>
                <c:pt idx="96">
                  <c:v>-29190.12</c:v>
                </c:pt>
                <c:pt idx="97">
                  <c:v>-30142.16</c:v>
                </c:pt>
                <c:pt idx="98">
                  <c:v>-31112.2</c:v>
                </c:pt>
                <c:pt idx="99">
                  <c:v>-32102.39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ser>
          <c:idx val="4"/>
          <c:order val="3"/>
          <c:tx>
            <c:v>Прибыль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'Сводная таблица'!$M$17:$M$116</c:f>
              <c:numCache>
                <c:formatCode>0.0</c:formatCode>
                <c:ptCount val="100"/>
                <c:pt idx="0">
                  <c:v>1.8</c:v>
                </c:pt>
                <c:pt idx="1">
                  <c:v>2.7</c:v>
                </c:pt>
                <c:pt idx="2">
                  <c:v>3.6</c:v>
                </c:pt>
                <c:pt idx="3">
                  <c:v>5</c:v>
                </c:pt>
                <c:pt idx="4">
                  <c:v>7.7</c:v>
                </c:pt>
                <c:pt idx="5">
                  <c:v>10.8</c:v>
                </c:pt>
                <c:pt idx="6">
                  <c:v>14.3</c:v>
                </c:pt>
                <c:pt idx="7">
                  <c:v>18.2</c:v>
                </c:pt>
                <c:pt idx="8">
                  <c:v>22.5</c:v>
                </c:pt>
                <c:pt idx="9">
                  <c:v>28.8</c:v>
                </c:pt>
                <c:pt idx="10">
                  <c:v>35.700000000000003</c:v>
                </c:pt>
                <c:pt idx="11">
                  <c:v>43.2</c:v>
                </c:pt>
                <c:pt idx="12">
                  <c:v>48.6</c:v>
                </c:pt>
                <c:pt idx="13">
                  <c:v>54</c:v>
                </c:pt>
                <c:pt idx="14">
                  <c:v>61.2</c:v>
                </c:pt>
                <c:pt idx="15">
                  <c:v>68.400000000000006</c:v>
                </c:pt>
                <c:pt idx="16">
                  <c:v>75.599999999999994</c:v>
                </c:pt>
                <c:pt idx="17">
                  <c:v>82.8</c:v>
                </c:pt>
                <c:pt idx="18">
                  <c:v>90</c:v>
                </c:pt>
                <c:pt idx="19">
                  <c:v>99</c:v>
                </c:pt>
                <c:pt idx="20">
                  <c:v>108</c:v>
                </c:pt>
                <c:pt idx="21">
                  <c:v>117</c:v>
                </c:pt>
                <c:pt idx="22">
                  <c:v>126</c:v>
                </c:pt>
                <c:pt idx="23">
                  <c:v>135</c:v>
                </c:pt>
                <c:pt idx="24">
                  <c:v>145.80000000000001</c:v>
                </c:pt>
                <c:pt idx="25">
                  <c:v>156.6</c:v>
                </c:pt>
                <c:pt idx="26">
                  <c:v>167.4</c:v>
                </c:pt>
                <c:pt idx="27">
                  <c:v>178.2</c:v>
                </c:pt>
                <c:pt idx="28">
                  <c:v>189</c:v>
                </c:pt>
                <c:pt idx="29">
                  <c:v>201.6</c:v>
                </c:pt>
                <c:pt idx="30">
                  <c:v>214.2</c:v>
                </c:pt>
                <c:pt idx="31">
                  <c:v>226.8</c:v>
                </c:pt>
                <c:pt idx="32">
                  <c:v>239.4</c:v>
                </c:pt>
                <c:pt idx="33">
                  <c:v>252</c:v>
                </c:pt>
                <c:pt idx="34">
                  <c:v>266.39999999999998</c:v>
                </c:pt>
                <c:pt idx="35">
                  <c:v>280.8</c:v>
                </c:pt>
                <c:pt idx="36">
                  <c:v>295.2</c:v>
                </c:pt>
                <c:pt idx="37">
                  <c:v>309.60000000000002</c:v>
                </c:pt>
                <c:pt idx="38">
                  <c:v>324</c:v>
                </c:pt>
                <c:pt idx="39">
                  <c:v>340.2</c:v>
                </c:pt>
                <c:pt idx="40">
                  <c:v>356.4</c:v>
                </c:pt>
                <c:pt idx="41">
                  <c:v>372.6</c:v>
                </c:pt>
                <c:pt idx="42">
                  <c:v>388.8</c:v>
                </c:pt>
                <c:pt idx="43">
                  <c:v>405</c:v>
                </c:pt>
                <c:pt idx="44">
                  <c:v>423</c:v>
                </c:pt>
                <c:pt idx="45">
                  <c:v>441</c:v>
                </c:pt>
                <c:pt idx="46">
                  <c:v>459</c:v>
                </c:pt>
                <c:pt idx="47">
                  <c:v>477</c:v>
                </c:pt>
                <c:pt idx="48">
                  <c:v>495</c:v>
                </c:pt>
                <c:pt idx="49">
                  <c:v>514.79999999999995</c:v>
                </c:pt>
                <c:pt idx="50">
                  <c:v>534.6</c:v>
                </c:pt>
                <c:pt idx="51">
                  <c:v>554.4</c:v>
                </c:pt>
                <c:pt idx="52">
                  <c:v>574.20000000000005</c:v>
                </c:pt>
                <c:pt idx="53">
                  <c:v>594</c:v>
                </c:pt>
                <c:pt idx="54">
                  <c:v>615.6</c:v>
                </c:pt>
                <c:pt idx="55">
                  <c:v>637.20000000000005</c:v>
                </c:pt>
                <c:pt idx="56">
                  <c:v>658.8</c:v>
                </c:pt>
                <c:pt idx="57">
                  <c:v>680.4</c:v>
                </c:pt>
                <c:pt idx="58">
                  <c:v>702</c:v>
                </c:pt>
                <c:pt idx="59">
                  <c:v>725.4</c:v>
                </c:pt>
                <c:pt idx="60">
                  <c:v>748.8</c:v>
                </c:pt>
                <c:pt idx="61">
                  <c:v>772.2</c:v>
                </c:pt>
                <c:pt idx="62">
                  <c:v>795.6</c:v>
                </c:pt>
                <c:pt idx="63">
                  <c:v>819</c:v>
                </c:pt>
                <c:pt idx="64">
                  <c:v>844.2</c:v>
                </c:pt>
                <c:pt idx="65">
                  <c:v>869.4</c:v>
                </c:pt>
                <c:pt idx="66">
                  <c:v>894.6</c:v>
                </c:pt>
                <c:pt idx="67">
                  <c:v>919.8</c:v>
                </c:pt>
                <c:pt idx="68">
                  <c:v>945</c:v>
                </c:pt>
                <c:pt idx="69">
                  <c:v>972</c:v>
                </c:pt>
                <c:pt idx="70">
                  <c:v>999</c:v>
                </c:pt>
                <c:pt idx="71">
                  <c:v>1026</c:v>
                </c:pt>
                <c:pt idx="72">
                  <c:v>1053</c:v>
                </c:pt>
                <c:pt idx="73">
                  <c:v>1080</c:v>
                </c:pt>
                <c:pt idx="74">
                  <c:v>1108.8</c:v>
                </c:pt>
                <c:pt idx="75">
                  <c:v>1137.5999999999999</c:v>
                </c:pt>
                <c:pt idx="76">
                  <c:v>1166.4000000000001</c:v>
                </c:pt>
                <c:pt idx="77">
                  <c:v>1195.2</c:v>
                </c:pt>
                <c:pt idx="78">
                  <c:v>1224</c:v>
                </c:pt>
                <c:pt idx="79">
                  <c:v>1254.5999999999999</c:v>
                </c:pt>
                <c:pt idx="80">
                  <c:v>1285.2</c:v>
                </c:pt>
                <c:pt idx="81">
                  <c:v>1315.8</c:v>
                </c:pt>
                <c:pt idx="82">
                  <c:v>1346.4</c:v>
                </c:pt>
                <c:pt idx="83">
                  <c:v>1377</c:v>
                </c:pt>
                <c:pt idx="84">
                  <c:v>1409.4</c:v>
                </c:pt>
                <c:pt idx="85">
                  <c:v>1441.8</c:v>
                </c:pt>
                <c:pt idx="86">
                  <c:v>1474.2</c:v>
                </c:pt>
                <c:pt idx="87">
                  <c:v>1506.6</c:v>
                </c:pt>
                <c:pt idx="88">
                  <c:v>1539</c:v>
                </c:pt>
                <c:pt idx="89">
                  <c:v>1573.2</c:v>
                </c:pt>
                <c:pt idx="90">
                  <c:v>1607.4</c:v>
                </c:pt>
                <c:pt idx="91">
                  <c:v>1641.6</c:v>
                </c:pt>
                <c:pt idx="92">
                  <c:v>1675.8</c:v>
                </c:pt>
                <c:pt idx="93">
                  <c:v>1710</c:v>
                </c:pt>
                <c:pt idx="94">
                  <c:v>1746</c:v>
                </c:pt>
                <c:pt idx="95">
                  <c:v>1782</c:v>
                </c:pt>
                <c:pt idx="96">
                  <c:v>1818</c:v>
                </c:pt>
                <c:pt idx="97">
                  <c:v>1854</c:v>
                </c:pt>
                <c:pt idx="98">
                  <c:v>1890</c:v>
                </c:pt>
                <c:pt idx="99">
                  <c:v>1927.8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ax val="1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/>
        <c:numFmt formatCode="0;[Red]0" sourceLinked="1"/>
        <c:majorTickMark val="none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out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ax val="25000"/>
          <c:min val="0"/>
        </c:scaling>
        <c:delete val="0"/>
        <c:axPos val="r"/>
        <c:numFmt formatCode="0_ ;[Red]\-0\ " sourceLinked="1"/>
        <c:majorTickMark val="out"/>
        <c:min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  <c:majorUnit val="1000"/>
      </c:valAx>
      <c:spPr>
        <a:noFill/>
        <a:ln w="25400">
          <a:noFill/>
        </a:ln>
      </c:spPr>
    </c:plotArea>
    <c:legend>
      <c:legendPos val="t"/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Spin" dx="22" fmlaLink="$C$7" max="30000" page="10" val="4"/>
</file>

<file path=xl/ctrlProps/ctrlProp2.xml><?xml version="1.0" encoding="utf-8"?>
<formControlPr xmlns="http://schemas.microsoft.com/office/spreadsheetml/2009/9/main" objectType="Spin" dx="22" fmlaLink="$C$10" max="30000" page="10" val="13"/>
</file>

<file path=xl/ctrlProps/ctrlProp3.xml><?xml version="1.0" encoding="utf-8"?>
<formControlPr xmlns="http://schemas.microsoft.com/office/spreadsheetml/2009/9/main" objectType="Spin" dx="22" fmlaLink="$C$3" max="30000" page="10" val="9"/>
</file>

<file path=xl/ctrlProps/ctrlProp4.xml><?xml version="1.0" encoding="utf-8"?>
<formControlPr xmlns="http://schemas.microsoft.com/office/spreadsheetml/2009/9/main" objectType="Spin" dx="22" fmlaLink="$G$3" max="30000" page="10" val="86"/>
</file>

<file path=xl/ctrlProps/ctrlProp5.xml><?xml version="1.0" encoding="utf-8"?>
<formControlPr xmlns="http://schemas.microsoft.com/office/spreadsheetml/2009/9/main" objectType="Spin" dx="22" fmlaLink="$G$7" max="30000" page="10" val="4"/>
</file>

<file path=xl/ctrlProps/ctrlProp6.xml><?xml version="1.0" encoding="utf-8"?>
<formControlPr xmlns="http://schemas.microsoft.com/office/spreadsheetml/2009/9/main" objectType="Spin" dx="22" fmlaLink="$G$10" max="30000" page="10" val="0"/>
</file>

<file path=xl/ctrlProps/ctrlProp7.xml><?xml version="1.0" encoding="utf-8"?>
<formControlPr xmlns="http://schemas.microsoft.com/office/spreadsheetml/2009/9/main" objectType="Spin" dx="22" fmlaLink="$G$13" max="30000" page="10" val="4"/>
</file>

<file path=xl/ctrlProps/ctrlProp8.xml><?xml version="1.0" encoding="utf-8"?>
<formControlPr xmlns="http://schemas.microsoft.com/office/spreadsheetml/2009/9/main" objectType="Spin" dx="22" fmlaLink="$K$7" max="30000" page="10" val="3"/>
</file>

<file path=xl/ctrlProps/ctrlProp9.xml><?xml version="1.0" encoding="utf-8"?>
<formControlPr xmlns="http://schemas.microsoft.com/office/spreadsheetml/2009/9/main" objectType="Spin" dx="22" fmlaLink="$K$10" max="30000" page="10" val="0"/>
</file>

<file path=xl/ctrlProps/ctrlProp10.xml><?xml version="1.0" encoding="utf-8"?>
<formControlPr xmlns="http://schemas.microsoft.com/office/spreadsheetml/2009/9/main" objectType="Spin" dx="22" fmlaLink="$K$13" max="30000" page="10" val="0"/>
</file>

<file path=xl/ctrlProps/ctrlProp11.xml><?xml version="1.0" encoding="utf-8"?>
<formControlPr xmlns="http://schemas.microsoft.com/office/spreadsheetml/2009/9/main" objectType="Spin" dx="22" fmlaLink="$O$10" inc="500" max="30000" page="10" val="3000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11</xdr:col>
          <xdr:colOff>108000</xdr:colOff>
          <xdr:row>12</xdr:row>
          <xdr:rowOff>188550</xdr:rowOff>
        </xdr:to>
        <xdr:grpSp>
          <xdr:nvGrpSpPr>
            <xdr:cNvPr id="5" name="Группа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1657350" y="161925"/>
              <a:ext cx="4194225" cy="2265000"/>
              <a:chOff x="1657350" y="0"/>
              <a:chExt cx="4194225" cy="2255475"/>
            </a:xfrm>
          </xdr:grpSpPr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57350" y="752475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7350" y="1328737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7350" y="0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648075" y="0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5" name="Spinner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648075" y="742950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6" name="Spinner 232" hidden="1">
                <a:extLst>
                  <a:ext uri="{63B3BB69-23CF-44E3-9099-C40C66FF867C}">
                    <a14:compatExt spid="_x0000_s1256"/>
                  </a:ext>
                  <a:ext uri="{FF2B5EF4-FFF2-40B4-BE49-F238E27FC236}">
                    <a16:creationId xmlns:a16="http://schemas.microsoft.com/office/drawing/2014/main" id="{00000000-0008-0000-0000-0000E8040000}"/>
                  </a:ext>
                </a:extLst>
              </xdr:cNvPr>
              <xdr:cNvSpPr/>
            </xdr:nvSpPr>
            <xdr:spPr bwMode="auto">
              <a:xfrm>
                <a:off x="3648074" y="1323975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7" name="Spinner 233" hidden="1">
                <a:extLst>
                  <a:ext uri="{63B3BB69-23CF-44E3-9099-C40C66FF867C}">
                    <a14:compatExt spid="_x0000_s1257"/>
                  </a:ext>
                  <a:ext uri="{FF2B5EF4-FFF2-40B4-BE49-F238E27FC236}">
                    <a16:creationId xmlns:a16="http://schemas.microsoft.com/office/drawing/2014/main" id="{00000000-0008-0000-0000-0000E9040000}"/>
                  </a:ext>
                </a:extLst>
              </xdr:cNvPr>
              <xdr:cNvSpPr/>
            </xdr:nvSpPr>
            <xdr:spPr bwMode="auto">
              <a:xfrm>
                <a:off x="3648074" y="1895475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743575" y="752475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743575" y="1328738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743574" y="1890712"/>
                <a:ext cx="108000" cy="36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9525</xdr:colOff>
          <xdr:row>9</xdr:row>
          <xdr:rowOff>9525</xdr:rowOff>
        </xdr:from>
        <xdr:to>
          <xdr:col>13</xdr:col>
          <xdr:colOff>590550</xdr:colOff>
          <xdr:row>9</xdr:row>
          <xdr:rowOff>200025</xdr:rowOff>
        </xdr:to>
        <xdr:sp macro="" textlink="">
          <xdr:nvSpPr>
            <xdr:cNvPr id="1280" name="Spinner 256" hidden="1">
              <a:extLst>
                <a:ext uri="{63B3BB69-23CF-44E3-9099-C40C66FF867C}">
                  <a14:compatExt spid="_x0000_s1280"/>
                </a:ext>
                <a:ext uri="{FF2B5EF4-FFF2-40B4-BE49-F238E27FC236}">
                  <a16:creationId xmlns:a16="http://schemas.microsoft.com/office/drawing/2014/main" id="{00000000-0008-0000-0000-00000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15</xdr:col>
      <xdr:colOff>200026</xdr:colOff>
      <xdr:row>2</xdr:row>
      <xdr:rowOff>1</xdr:rowOff>
    </xdr:from>
    <xdr:to>
      <xdr:col>19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xdr:twoCellAnchor>
    <xdr:from>
      <xdr:col>27</xdr:col>
      <xdr:colOff>190501</xdr:colOff>
      <xdr:row>2</xdr:row>
      <xdr:rowOff>38101</xdr:rowOff>
    </xdr:from>
    <xdr:to>
      <xdr:col>30</xdr:col>
      <xdr:colOff>57151</xdr:colOff>
      <xdr:row>11</xdr:row>
      <xdr:rowOff>114301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13535026" y="3619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19049</xdr:colOff>
      <xdr:row>42</xdr:row>
      <xdr:rowOff>161924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G122"/>
  <sheetViews>
    <sheetView tabSelected="1" zoomScaleNormal="100" workbookViewId="0">
      <pane xSplit="1" topLeftCell="B1" activePane="topRight" state="frozen"/>
      <selection pane="topRight" activeCell="M14" sqref="M1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12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9.7109375" customWidth="1"/>
    <col min="14" max="14" width="9" customWidth="1"/>
    <col min="15" max="15" width="8.57031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710937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710937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x14ac:dyDescent="0.2">
      <c r="A1" s="294" t="s">
        <v>182</v>
      </c>
      <c r="B1" s="294"/>
      <c r="C1" s="294"/>
      <c r="D1" s="294"/>
      <c r="E1" s="294"/>
      <c r="F1" s="294"/>
      <c r="G1" s="294"/>
      <c r="H1" s="294"/>
      <c r="I1" s="294"/>
      <c r="J1" s="294"/>
      <c r="K1" s="294"/>
      <c r="L1" s="100"/>
      <c r="M1" s="295" t="s">
        <v>186</v>
      </c>
      <c r="N1" s="295"/>
      <c r="O1" s="296"/>
      <c r="P1" s="295" t="s">
        <v>184</v>
      </c>
      <c r="Q1" s="297"/>
      <c r="R1" s="297"/>
      <c r="S1" s="297"/>
      <c r="T1" s="297"/>
      <c r="U1" s="100"/>
      <c r="V1" s="298" t="s">
        <v>183</v>
      </c>
      <c r="W1" s="298"/>
      <c r="X1" s="298"/>
      <c r="Y1" s="298"/>
      <c r="Z1" s="298"/>
      <c r="AA1" s="299"/>
      <c r="AB1" s="298" t="s">
        <v>185</v>
      </c>
      <c r="AC1" s="300"/>
      <c r="AD1" s="300"/>
      <c r="AE1" s="300"/>
    </row>
    <row r="2" spans="1:33" x14ac:dyDescent="0.2">
      <c r="C2" s="260"/>
      <c r="D2" s="261"/>
      <c r="G2" s="260"/>
      <c r="H2" s="261"/>
      <c r="I2" s="79" t="s">
        <v>50</v>
      </c>
      <c r="J2" s="78" t="str">
        <f>IF(K$2=0,"LastOrder",IF(K$2=1,"MinOrder","ОШИБКА"))</f>
        <v>MinOrder</v>
      </c>
      <c r="K2" s="80">
        <v>1</v>
      </c>
      <c r="L2" s="106"/>
      <c r="M2" s="232" t="s">
        <v>23</v>
      </c>
      <c r="N2" s="232"/>
      <c r="O2" s="233" t="s">
        <v>89</v>
      </c>
      <c r="P2" s="197"/>
      <c r="Q2" s="197"/>
      <c r="R2" s="197"/>
      <c r="S2" s="197"/>
      <c r="T2" s="197"/>
      <c r="U2" s="100"/>
      <c r="V2" s="195" t="s">
        <v>210</v>
      </c>
      <c r="W2" s="198"/>
      <c r="X2" s="221"/>
      <c r="Y2" s="225">
        <f>INDEX($G$17:$G$116,COUNTIF($AA$17:$AA$116,"&gt;0"))</f>
        <v>505</v>
      </c>
      <c r="Z2" s="221"/>
      <c r="AA2" s="229"/>
      <c r="AB2" s="199"/>
    </row>
    <row r="3" spans="1:33" ht="15" x14ac:dyDescent="0.25">
      <c r="A3" s="8" t="s">
        <v>17</v>
      </c>
      <c r="B3" s="3"/>
      <c r="C3" s="262">
        <v>9</v>
      </c>
      <c r="D3" s="263"/>
      <c r="E3" s="8" t="s">
        <v>10</v>
      </c>
      <c r="F3" s="18"/>
      <c r="G3" s="262">
        <v>86</v>
      </c>
      <c r="H3" s="263"/>
      <c r="I3" s="8" t="s">
        <v>0</v>
      </c>
      <c r="J3" s="72" t="str">
        <f>IF(K$3&lt;0,"д.б. &gt;0","")</f>
        <v/>
      </c>
      <c r="K3" s="40">
        <v>0.02</v>
      </c>
      <c r="L3" s="106"/>
      <c r="M3" s="232" t="s">
        <v>24</v>
      </c>
      <c r="N3" s="232"/>
      <c r="O3" s="234">
        <v>4</v>
      </c>
      <c r="P3" s="197"/>
      <c r="Q3" s="197"/>
      <c r="R3" s="197"/>
      <c r="S3" s="197"/>
      <c r="T3" s="197"/>
      <c r="U3" s="100"/>
      <c r="V3" s="223" t="s">
        <v>170</v>
      </c>
      <c r="W3" s="222"/>
      <c r="X3" s="222"/>
      <c r="Y3" s="226">
        <f>COUNTIF($AA$17:$AA$116,"&gt;0")</f>
        <v>40</v>
      </c>
      <c r="Z3" s="222"/>
      <c r="AA3" s="229"/>
      <c r="AB3" s="199"/>
    </row>
    <row r="4" spans="1:33" ht="15" x14ac:dyDescent="0.25">
      <c r="A4" s="8"/>
      <c r="B4" s="3"/>
      <c r="C4" s="13"/>
      <c r="D4" s="264"/>
      <c r="E4" s="8"/>
      <c r="F4" s="18"/>
      <c r="G4" s="12"/>
      <c r="H4" s="264"/>
      <c r="I4" s="8" t="s">
        <v>1</v>
      </c>
      <c r="J4" s="72" t="str">
        <f>IF(K$4&lt;0,"д.б. &gt;0","")</f>
        <v/>
      </c>
      <c r="K4" s="278">
        <v>0.5</v>
      </c>
      <c r="L4" s="261"/>
      <c r="M4" s="235" t="s">
        <v>25</v>
      </c>
      <c r="N4" s="232"/>
      <c r="O4" s="236">
        <f>IF(O3=4,IF($O$2="AUD/CAD",'Залоги и Цена пункта'!$D$10,IF($O$2="AUD/CHF",'Залоги и Цена пункта'!$D$11,IF($O$2="AUD/JPY",'Залоги и Цена пункта'!$D$12,IF($O$2="AUD/NZD",'Залоги и Цена пункта'!$D$13,IF($O$2="AUD/USD",'Залоги и Цена пункта'!$D$14,IF($O$2="CAD/CHF",'Залоги и Цена пункта'!$D$15,IF($O$2="CAD/JPY",'Залоги и Цена пункта'!$D$16,IF($O$2="CHF/JPY",'Залоги и Цена пункта'!$D$17,IF($O$2="EUR/AUD",'Залоги и Цена пункта'!$D$18,IF($O$2="EUR/CAD",'Залоги и Цена пункта'!$D$19,IF($O$2="EUR/CHF",'Залоги и Цена пункта'!$D$20,IF($O$2="EUR/JPY",'Залоги и Цена пункта'!$D$21,IF($O$2="EUR/GBP",'Залоги и Цена пункта'!$D$22,IF($O$2="EUR/NZD",'Залоги и Цена пункта'!$D$23,IF($O$2="EUR/USD",'Залоги и Цена пункта'!$D$24,IF($O$2="GBP/AUD",'Залоги и Цена пункта'!$D$25,IF($O$2="GBP/CAD",'Залоги и Цена пункта'!$D$26,IF($O$2="GBP/CHF",'Залоги и Цена пункта'!$D$27,IF($O$2="GBP/JPY",'Залоги и Цена пункта'!$D$28,IF($O$2="GBP/NZD",'Залоги и Цена пункта'!$D$29,IF($O$2="GBP/USD",'Залоги и Цена пункта'!$D$30,IF($O$2="NZD/CAD",'Залоги и Цена пункта'!$D$31,IF($O$2="NZD/CHF",'Залоги и Цена пункта'!$D$32,IF($O$2="NZD/JPY",'Залоги и Цена пункта'!$D$33,IF($O$2="NZD/USD",'Залоги и Цена пункта'!$D$34,IF($O$2="USD/CAD",'Залоги и Цена пункта'!$D$35,IF($O$2="USD/CHF",'Залоги и Цена пункта'!$D$36,IF($O$2="USD/JPY",'Залоги и Цена пункта'!$D$37,)))))))))))))))))))))))))))),IF($O$2="AUD/CAD",'Залоги и Цена пункта'!$D$10,IF($O$2="AUD/CHF",'Залоги и Цена пункта'!$D$11,IF($O$2="AUD/JPY",'Залоги и Цена пункта'!$D$12,IF($O$2="AUD/NZD",'Залоги и Цена пункта'!$D$13,IF($O$2="AUD/USD",'Залоги и Цена пункта'!$D$14,IF($O$2="CAD/CHF",'Залоги и Цена пункта'!$D$15,IF($O$2="CAD/JPY",'Залоги и Цена пункта'!$D$16,IF($O$2="CHF/JPY",'Залоги и Цена пункта'!$D$17,IF($O$2="EUR/AUD",'Залоги и Цена пункта'!$D$18,IF($O$2="EUR/CAD",'Залоги и Цена пункта'!$D$19,IF($O$2="EUR/CHF",'Залоги и Цена пункта'!$D$20,IF($O$2="EUR/JPY",'Залоги и Цена пункта'!$D$21,IF($O$2="EUR/GBP",'Залоги и Цена пункта'!$D$22,IF($O$2="EUR/NZD",'Залоги и Цена пункта'!$D$23,IF($O$2="EUR/USD",'Залоги и Цена пункта'!$D$24,IF($O$2="GBP/AUD",'Залоги и Цена пункта'!$D$25,IF($O$2="GBP/CAD",'Залоги и Цена пункта'!$D$26,IF($O$2="GBP/CHF",'Залоги и Цена пункта'!$D$27,IF($O$2="GBP/JPY",'Залоги и Цена пункта'!$D$28,IF($O$2="GBP/NZD",'Залоги и Цена пункта'!$D$29,IF($O$2="GBP/USD",'Залоги и Цена пункта'!$D$30,IF($O$2="NZD/CAD",'Залоги и Цена пункта'!$D$31,IF($O$2="NZD/CHF",'Залоги и Цена пункта'!$D$32,IF($O$2="NZD/JPY",'Залоги и Цена пункта'!$D$33,IF($O$2="NZD/USD",'Залоги и Цена пункта'!$D$34,IF($O$2="USD/CAD",'Залоги и Цена пункта'!$D$35,IF($O$2="USD/CHF",'Залоги и Цена пункта'!$D$36,IF($O$2="USD/JPY",'Залоги и Цена пункта'!$D$37,))))))))))))))))))))))))))))/10)</f>
        <v>10</v>
      </c>
      <c r="P4" s="197"/>
      <c r="Q4" s="197"/>
      <c r="R4" s="197"/>
      <c r="S4" s="197"/>
      <c r="T4" s="197"/>
      <c r="U4" s="100"/>
      <c r="V4" s="195" t="s">
        <v>169</v>
      </c>
      <c r="W4" s="221"/>
      <c r="X4" s="224"/>
      <c r="Y4" s="227">
        <f>SUMPRODUCT(A17:INDEX($A$17:$A$116,COUNTIF($AA$17:$AA$116,"&gt;0")),F17:INDEX($F$17:$F$116,COUNTIF($AA$17:$AA$116,"&gt;0")))/SUMIF($AA$17:$AA$116,"&gt;0",$A$17:$A$116)</f>
        <v>9.4585365853658541</v>
      </c>
      <c r="Z4" s="221"/>
      <c r="AA4" s="229"/>
      <c r="AB4" s="199"/>
    </row>
    <row r="5" spans="1:33" ht="15" customHeight="1" x14ac:dyDescent="0.4">
      <c r="A5" s="8"/>
      <c r="B5" s="3"/>
      <c r="C5" s="13"/>
      <c r="D5" s="264"/>
      <c r="E5" s="8"/>
      <c r="F5" s="18"/>
      <c r="G5" s="13"/>
      <c r="H5" s="264"/>
      <c r="I5" s="8" t="s">
        <v>6</v>
      </c>
      <c r="J5" s="72" t="str">
        <f>IF(K$5&lt;2,"д.б. &gt;1","")</f>
        <v/>
      </c>
      <c r="K5" s="262">
        <v>2</v>
      </c>
      <c r="L5" s="261"/>
      <c r="M5" s="237" t="str">
        <f>HYPERLINK("http://ru.investing.com/tools/forex-volatility-calculator","Волатильность")</f>
        <v>Волатильность</v>
      </c>
      <c r="N5" s="235"/>
      <c r="O5" s="238" t="str">
        <f>IF(AND($O$2="AUD/CAD",Волатильность!$B$2="AUD/CAD"),Волатильность!$C$2,IF(AND($O$2="AUD/CHF",Волатильность!$B$3="AUD/CHF"),Волатильность!$C$3,IF(AND($O$2="AUD/JPY",Волатильность!$B$4="AUD/JPY"),Волатильность!$C$4,IF(AND($O$2="AUD/NZD",Волатильность!$B$5="AUD/NZD"),Волатильность!$C$5,IF(AND($O$2="AUD/USD",Волатильность!$B$6="AUD/USD"),Волатильность!$C$6,IF(AND($O$2="CAD/CHF",Волатильность!$B$9="CAD/CHF"),Волатильность!$C$9,IF(AND($O$2="CAD/JPY",Волатильность!$B$10="CAD/JPY"),Волатильность!$C$10,IF(AND($O$2="CHF/JPY",Волатильность!$B$11="CHF/JPY"),Волатильность!$C$11,IF(AND($O$2="EUR/AUD",Волатильность!$B$12="EUR/AUD"),Волатильность!$C$12,IF(AND($O$2="EUR/CAD",Волатильность!$B$13="EUR/CAD"),Волатильность!$C$13,IF(AND($O$2="EUR/CHF",Волатильность!$B$14="EUR/CHF"),Волатильность!$C$14,IF(AND($O$2="EUR/GBP",Волатильность!$B$15="EUR/GBP"),Волатильность!$C$15,IF(AND($O$2="EUR/JPY",Волатильность!$B$16="EUR/JPY"),Волатильность!$C$16,IF(AND($O$2="EUR/NZD",Волатильность!$B$17="EUR/NZD"),Волатильность!$C$17,IF(AND($O$2="EUR/USD",Волатильность!$B$18="EUR/USD"),Волатильность!$C$18,IF(AND($O$2="GBP/AUD",Волатильность!$B$19="GBP/AUD"),Волатильность!$C$19,IF(AND($O$2="GBP/CAD",Волатильность!$B$20="GBP/CAD"),Волатильность!$C$20,IF(AND($O$2="GBP/CHF",Волатильность!$B$21="GBP/CHF"),Волатильность!$C$21,IF(AND($O$2="GBP/JPY",Волатильность!$B$22="GBP/JPY"),Волатильность!$C$22,IF(AND($O$2="GBP/NZD",Волатильность!$F$2="GBP/NZD"),Волатильность!$G$2,IF(AND($O$2="GBP/USD",Волатильность!$F$3="GBP/USD"),Волатильность!$G$3,IF(AND($O$2="NZD/JPY",Волатильность!$F$4="NZD/JPY"),Волатильность!$G$4,IF(AND($O$2="NZD/USD",Волатильность!$F$5="NZD/USD"),Волатильность!$G$5,IF(AND($O$2="USD/CAD",Волатильность!$F$7="USD/CAD"),Волатильность!$G$7,IF(AND($O$2="USD/CHF",Волатильность!$F$8="USD/CHF"),Волатильность!$G$8,IF(AND($O$2="USD/JPY",Волатильность!$F$14="USD/JPY"),Волатильность!$G$14,))))))))))))))))))))))))))</f>
        <v>85,94</v>
      </c>
      <c r="P5" s="197"/>
      <c r="Q5" s="197"/>
      <c r="R5" s="197"/>
      <c r="S5" s="197"/>
      <c r="T5" s="197"/>
      <c r="U5" s="100"/>
      <c r="V5" s="200" t="s">
        <v>8</v>
      </c>
      <c r="W5" s="221"/>
      <c r="X5" s="221"/>
      <c r="Y5" s="228">
        <f>SUMPRODUCT(A17:INDEX($A$17:$A$116,COUNTIF($AA$17:$AA$116,"&gt;0")),I17:INDEX($I$17:$I$116,COUNTIF($AA$17:$AA$116,"&gt;0")))/SUMIF($AA$17:$AA$116,"&gt;0",$A$17:$A$116)</f>
        <v>3.0007317073170734</v>
      </c>
      <c r="Z5" s="221"/>
      <c r="AA5" s="229"/>
      <c r="AB5" s="199"/>
      <c r="AG5" s="81"/>
    </row>
    <row r="6" spans="1:33" ht="15" customHeight="1" thickBot="1" x14ac:dyDescent="0.45">
      <c r="A6" s="9"/>
      <c r="B6" s="3"/>
      <c r="C6" s="36"/>
      <c r="D6" s="265"/>
      <c r="E6" s="9"/>
      <c r="F6" s="18"/>
      <c r="G6" s="1"/>
      <c r="H6" s="265"/>
      <c r="I6" s="9"/>
      <c r="J6" s="72"/>
      <c r="K6" s="1"/>
      <c r="L6" s="273"/>
      <c r="M6" s="239" t="s">
        <v>27</v>
      </c>
      <c r="N6" s="240"/>
      <c r="O6" s="241">
        <v>0</v>
      </c>
      <c r="P6" s="197"/>
      <c r="Q6" s="197"/>
      <c r="R6" s="197"/>
      <c r="S6" s="197"/>
      <c r="T6" s="197"/>
      <c r="U6" s="100"/>
      <c r="V6" s="200" t="s">
        <v>9</v>
      </c>
      <c r="W6" s="221"/>
      <c r="X6" s="221"/>
      <c r="Y6" s="228">
        <f>SUMPRODUCT(A17:INDEX($A$17:$A$116,COUNTIF($AA$17:$AA$116,"&gt;0")),J17:INDEX($J$17:$J$116,COUNTIF($AA$17:$AA$116,"&gt;0")))/SUMIF($AA$17:$AA$116,"&gt;0",$A$17:$A$116)</f>
        <v>6.0014634146341478E-2</v>
      </c>
      <c r="Z6" s="221"/>
      <c r="AA6" s="229"/>
      <c r="AB6" s="199"/>
      <c r="AG6" s="81"/>
    </row>
    <row r="7" spans="1:33" ht="15" x14ac:dyDescent="0.25">
      <c r="A7" s="74" t="s">
        <v>18</v>
      </c>
      <c r="B7" s="4"/>
      <c r="C7" s="266">
        <v>4</v>
      </c>
      <c r="D7" s="267"/>
      <c r="E7" s="74" t="s">
        <v>11</v>
      </c>
      <c r="F7" s="27"/>
      <c r="G7" s="266">
        <v>4</v>
      </c>
      <c r="H7" s="267"/>
      <c r="I7" s="74" t="s">
        <v>2</v>
      </c>
      <c r="J7" s="72" t="str">
        <f>IF(K$7&lt;0,"д.б. &gt;=0","")</f>
        <v/>
      </c>
      <c r="K7" s="277">
        <v>3</v>
      </c>
      <c r="L7" s="273"/>
      <c r="M7" s="239" t="s">
        <v>187</v>
      </c>
      <c r="N7" s="256" t="s">
        <v>188</v>
      </c>
      <c r="O7" s="233"/>
      <c r="P7" s="197"/>
      <c r="Q7" s="197"/>
      <c r="R7" s="197"/>
      <c r="S7" s="197"/>
      <c r="T7" s="197"/>
      <c r="U7" s="100"/>
      <c r="V7" s="200" t="s">
        <v>168</v>
      </c>
      <c r="W7" s="222"/>
      <c r="X7" s="222"/>
      <c r="Y7" s="226">
        <f>INDEX($K$17:$K$116,COUNTIF($AA$17:$AA$116,"&gt;0"))</f>
        <v>1.890000000000001</v>
      </c>
      <c r="Z7" s="222"/>
      <c r="AA7" s="230"/>
      <c r="AG7" s="282">
        <v>1</v>
      </c>
    </row>
    <row r="8" spans="1:33" ht="15" x14ac:dyDescent="0.25">
      <c r="A8" s="74" t="s">
        <v>19</v>
      </c>
      <c r="B8" s="4"/>
      <c r="C8" s="35">
        <v>1</v>
      </c>
      <c r="D8" s="268"/>
      <c r="E8" s="74" t="s">
        <v>12</v>
      </c>
      <c r="F8" s="27"/>
      <c r="G8" s="35">
        <v>-77</v>
      </c>
      <c r="H8" s="268"/>
      <c r="I8" s="74" t="s">
        <v>3</v>
      </c>
      <c r="J8" s="72" t="str">
        <f>IF(AND(K$7=0,K$8&lt;&gt;0),"д.б. =0","")</f>
        <v/>
      </c>
      <c r="K8" s="32">
        <v>0.1</v>
      </c>
      <c r="L8" s="273"/>
      <c r="M8" s="239" t="s">
        <v>26</v>
      </c>
      <c r="N8" s="240"/>
      <c r="O8" s="242">
        <f>IF($O$2="AUD/CAD",'Залоги и Цена пункта'!$C$10,IF($O$2="AUD/CHF",'Залоги и Цена пункта'!$C$11,IF($O$2="AUD/JPY",'Залоги и Цена пункта'!$C$12,IF($O$2="AUD/NZD",'Залоги и Цена пункта'!$C$13,IF($O$2="AUD/USD",'Залоги и Цена пункта'!$C$14,IF($O$2="CAD/CHF",'Залоги и Цена пункта'!$C$15,IF($O$2="CAD/JPY",'Залоги и Цена пункта'!$C$16,IF($O$2="CHF/JPY",'Залоги и Цена пункта'!$C$17,IF($O$2="EUR/AUD",'Залоги и Цена пункта'!$C$18,IF($O$2="EUR/CAD",'Залоги и Цена пункта'!$C$19,IF($O$2="EUR/CHF",'Залоги и Цена пункта'!$C$20,IF($O$2="EUR/JPY",'Залоги и Цена пункта'!$C$21,IF($O$2="EUR/GBP",'Залоги и Цена пункта'!$C$22,IF($O$2="EUR/NZD",'Залоги и Цена пункта'!$C$23,IF($O$2="EUR/USD",'Залоги и Цена пункта'!$C$24,IF($O$2="GBP/AUD",'Залоги и Цена пункта'!$C$25,IF($O$2="GBP/CAD",'Залоги и Цена пункта'!$C$26,IF($O$2="GBP/CHF",'Залоги и Цена пункта'!$C$27,IF($O$2="GBP/JPY",'Залоги и Цена пункта'!$C$28,IF($O$2="GBP/NZD",'Залоги и Цена пункта'!$C$29,IF($O$2="GBP/USD",'Залоги и Цена пункта'!$C$30,IF($O$2="NZD/CAD",'Залоги и Цена пункта'!$C$31,IF($O$2="NZD/CHF",'Залоги и Цена пункта'!$C$32,IF($O$2="NZD/JPY",'Залоги и Цена пункта'!$C$33,IF($O$2="NZD/USD",'Залоги и Цена пункта'!$C$34,IF($O$2="USD/CAD",'Залоги и Цена пункта'!$C$35,IF($O$2="USD/CHF",'Залоги и Цена пункта'!$C$36,IF($O$2="USD/JPY",'Залоги и Цена пункта'!$C$37,))))))))))))))))))))))))))))</f>
        <v>215.2</v>
      </c>
      <c r="P8" s="197"/>
      <c r="Q8" s="197"/>
      <c r="R8" s="197"/>
      <c r="S8" s="197"/>
      <c r="T8" s="197"/>
      <c r="U8" s="100"/>
      <c r="V8" s="195" t="s">
        <v>171</v>
      </c>
      <c r="W8" s="222"/>
      <c r="X8" s="222"/>
      <c r="Y8" s="259">
        <f>INDEX($M$17:$M$116,1)</f>
        <v>1.8</v>
      </c>
      <c r="Z8" s="222"/>
      <c r="AA8" s="231">
        <f>(INDEX($M$17:$M$116,1))/O10</f>
        <v>6.0000000000000006E-4</v>
      </c>
      <c r="AG8" s="283"/>
    </row>
    <row r="9" spans="1:33" ht="15.75" thickBot="1" x14ac:dyDescent="0.3">
      <c r="A9" s="74"/>
      <c r="B9" s="4"/>
      <c r="C9" s="37"/>
      <c r="D9" s="267"/>
      <c r="E9" s="74"/>
      <c r="F9" s="27"/>
      <c r="G9" s="28"/>
      <c r="H9" s="267"/>
      <c r="I9" s="74"/>
      <c r="J9" s="73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28"/>
      <c r="L9" s="274"/>
      <c r="M9" s="239" t="s">
        <v>28</v>
      </c>
      <c r="N9" s="240"/>
      <c r="O9" s="243">
        <v>0.1</v>
      </c>
      <c r="P9" s="197"/>
      <c r="Q9" s="197"/>
      <c r="R9" s="197"/>
      <c r="S9" s="197"/>
      <c r="T9" s="197"/>
      <c r="U9" s="100"/>
      <c r="V9" s="195" t="s">
        <v>172</v>
      </c>
      <c r="W9" s="221"/>
      <c r="X9" s="221"/>
      <c r="Y9" s="259">
        <f>INDEX($M$17:$M$116,COUNTIF($AA$17:$AA$116,"&gt;0"))</f>
        <v>340.2</v>
      </c>
      <c r="Z9" s="221"/>
      <c r="AA9" s="231">
        <f>(INDEX($M$17:$M$116,COUNTIF($AA$17:$AA$116,"&gt;0")))/O10</f>
        <v>0.1134</v>
      </c>
      <c r="AG9" s="284"/>
    </row>
    <row r="10" spans="1:33" ht="15" x14ac:dyDescent="0.25">
      <c r="A10" s="75" t="s">
        <v>20</v>
      </c>
      <c r="B10" s="31"/>
      <c r="C10" s="38">
        <v>13</v>
      </c>
      <c r="D10" s="269"/>
      <c r="E10" s="75" t="s">
        <v>13</v>
      </c>
      <c r="F10" s="29"/>
      <c r="G10" s="38">
        <v>0</v>
      </c>
      <c r="H10" s="269"/>
      <c r="I10" s="75" t="s">
        <v>4</v>
      </c>
      <c r="J10" s="72" t="str">
        <f>IF(K$10&lt;0,"д.б. &gt;=0","")</f>
        <v/>
      </c>
      <c r="K10" s="39">
        <v>0</v>
      </c>
      <c r="L10" s="274"/>
      <c r="M10" s="244" t="s">
        <v>29</v>
      </c>
      <c r="N10" s="245"/>
      <c r="O10" s="246">
        <v>3000</v>
      </c>
      <c r="P10" s="197"/>
      <c r="Q10" s="197"/>
      <c r="R10" s="197"/>
      <c r="S10" s="197"/>
      <c r="T10" s="197"/>
      <c r="U10" s="100"/>
      <c r="V10" s="195" t="s">
        <v>173</v>
      </c>
      <c r="W10" s="221"/>
      <c r="X10" s="221"/>
      <c r="Y10" s="259">
        <f>SUMPRODUCT(C17:INDEX($C$17:$C$116,COUNTIF($AA$17:$AA$116,"&gt;0")),M17:INDEX($M$17:$M$116,COUNTIF($AA$17:$AA$116,"&gt;0")))/SUMIF($AA$17:$AA$116,"&gt;0",$C$17:$C$116)</f>
        <v>137.45981735159819</v>
      </c>
      <c r="Z10" s="221"/>
      <c r="AA10" s="231">
        <f>$Y$10/$O$10</f>
        <v>4.58199391171994E-2</v>
      </c>
      <c r="AG10" s="66"/>
    </row>
    <row r="11" spans="1:33" ht="15" x14ac:dyDescent="0.25">
      <c r="A11" s="75" t="s">
        <v>21</v>
      </c>
      <c r="B11" s="31"/>
      <c r="C11" s="34">
        <v>18</v>
      </c>
      <c r="D11" s="270"/>
      <c r="E11" s="75" t="s">
        <v>14</v>
      </c>
      <c r="F11" s="29"/>
      <c r="G11" s="34">
        <v>0</v>
      </c>
      <c r="H11" s="270"/>
      <c r="I11" s="75" t="s">
        <v>5</v>
      </c>
      <c r="J11" s="72" t="str">
        <f>IF(AND(K$10=0,K$11&lt;&gt;0),"д.б. =0","")</f>
        <v/>
      </c>
      <c r="K11" s="33">
        <v>0</v>
      </c>
      <c r="L11" s="274"/>
      <c r="M11" s="197"/>
      <c r="N11" s="197"/>
      <c r="O11" s="229"/>
      <c r="P11" s="197"/>
      <c r="Q11" s="197"/>
      <c r="R11" s="197"/>
      <c r="S11" s="197"/>
      <c r="T11" s="197"/>
      <c r="U11" s="100"/>
      <c r="V11" s="195" t="s">
        <v>174</v>
      </c>
      <c r="W11" s="221"/>
      <c r="X11" s="221"/>
      <c r="Y11" s="259">
        <f>SUMPRODUCT(G17:INDEX($G$17:$G$116,COUNTIF($AA$17:$AA$116,"&gt;0")),W17:INDEX($W$17:$W$116,COUNTIF($AA$17:$AA$116,"&gt;0")))/SUMIF($AA$17:$AA$116,"&gt;0",$G$17:$G$116)</f>
        <v>1118.536612093598</v>
      </c>
      <c r="Z11" s="221"/>
      <c r="AA11" s="231">
        <f>$Y$11/$O$10</f>
        <v>0.37284553736453269</v>
      </c>
      <c r="AG11" s="66"/>
    </row>
    <row r="12" spans="1:33" ht="15" x14ac:dyDescent="0.25">
      <c r="A12" s="30"/>
      <c r="B12" s="31"/>
      <c r="C12" s="68"/>
      <c r="D12" s="101"/>
      <c r="E12" s="30"/>
      <c r="F12" s="29"/>
      <c r="G12" s="68"/>
      <c r="H12" s="270"/>
      <c r="I12" s="30"/>
      <c r="J12" s="72"/>
      <c r="K12" s="69"/>
      <c r="L12" s="275"/>
      <c r="M12" s="197"/>
      <c r="N12" s="197"/>
      <c r="O12" s="229"/>
      <c r="P12" s="248"/>
      <c r="Q12" s="197"/>
      <c r="R12" s="197"/>
      <c r="S12" s="197"/>
      <c r="T12" s="197"/>
      <c r="U12" s="249"/>
      <c r="V12" s="195" t="s">
        <v>189</v>
      </c>
      <c r="W12" s="222"/>
      <c r="X12" s="222"/>
      <c r="Y12" s="226"/>
      <c r="Z12" s="222"/>
      <c r="AA12" s="231">
        <f>$Y$10/Y11</f>
        <v>0.12289255073583205</v>
      </c>
      <c r="AG12" s="66"/>
    </row>
    <row r="13" spans="1:33" ht="15" x14ac:dyDescent="0.25">
      <c r="A13" s="8"/>
      <c r="B13" s="67"/>
      <c r="C13" s="71"/>
      <c r="D13" s="102"/>
      <c r="E13" s="8" t="s">
        <v>47</v>
      </c>
      <c r="F13" s="70"/>
      <c r="G13" s="271">
        <v>4</v>
      </c>
      <c r="H13" s="272"/>
      <c r="I13" s="8" t="s">
        <v>48</v>
      </c>
      <c r="J13" s="72" t="str">
        <f>IF(K$13&lt;0,"д.б. &gt;=0","")</f>
        <v/>
      </c>
      <c r="K13" s="77">
        <v>0</v>
      </c>
      <c r="L13" s="275"/>
      <c r="M13" s="197"/>
      <c r="N13" s="197"/>
      <c r="O13" s="229"/>
      <c r="P13" s="248"/>
      <c r="Q13" s="197"/>
      <c r="R13" s="197"/>
      <c r="S13" s="197"/>
      <c r="T13" s="197"/>
      <c r="U13" s="249"/>
      <c r="V13" s="195" t="s">
        <v>175</v>
      </c>
      <c r="W13" s="198"/>
      <c r="X13" s="198"/>
      <c r="Y13" s="227">
        <f>SUMPRODUCT(A17:INDEX($A$17:$A$116,COUNTIF($AA$17:$AA$116,"&gt;0")),Q17:INDEX($Q$17:$Q$116,COUNTIF($AA$17:$AA$116,"&gt;0")))/SUMIF($AA$17:$AA$116,"&gt;0",$A$17:$A$116)</f>
        <v>93.65609756097561</v>
      </c>
      <c r="Z13" s="198"/>
      <c r="AA13" s="231">
        <f>SUMPRODUCT(A17:INDEX($A$17:$A$116,COUNTIF($AA$17:$AA$116,"&gt;0")),R17:INDEX($R$17:$R$116,COUNTIF($AA$17:$AA$116,"&gt;0")))/SUMIF($AA$17:$AA$116,"&gt;0",$A$17:$A$116)</f>
        <v>0.24276829268292682</v>
      </c>
      <c r="AB13" s="197"/>
      <c r="AG13" s="66"/>
    </row>
    <row r="14" spans="1:33" ht="17.25" customHeight="1" thickBot="1" x14ac:dyDescent="0.3">
      <c r="A14" s="8"/>
      <c r="B14" s="67"/>
      <c r="C14" s="71"/>
      <c r="D14" s="102"/>
      <c r="E14" s="8"/>
      <c r="F14" s="70"/>
      <c r="G14" s="71"/>
      <c r="H14" s="102"/>
      <c r="I14" s="10" t="s">
        <v>51</v>
      </c>
      <c r="J14" s="72" t="str">
        <f>IF(K$14&lt;0,"д.б. &gt;=0","")</f>
        <v/>
      </c>
      <c r="K14" s="76">
        <v>0</v>
      </c>
      <c r="L14" s="276"/>
      <c r="M14" s="215"/>
      <c r="N14" s="215"/>
      <c r="O14" s="247"/>
      <c r="P14" s="250"/>
      <c r="Q14" s="215"/>
      <c r="R14" s="215"/>
      <c r="S14" s="215"/>
      <c r="T14" s="215"/>
      <c r="U14" s="251"/>
      <c r="V14" s="252" t="s">
        <v>176</v>
      </c>
      <c r="W14" s="253"/>
      <c r="X14" s="253"/>
      <c r="Y14" s="254">
        <f>SUMPRODUCT(A17:INDEX($A$17:$A$116,COUNTIF($AA$17:$AA$116,"&gt;0")),S17:INDEX($S$17:$S$116,COUNTIF($AA$17:$AA$116,"&gt;0")))/SUMIF($AA$17:$AA$116,"&gt;0",$A$17:$A$116)</f>
        <v>111.31219512195122</v>
      </c>
      <c r="Z14" s="253"/>
      <c r="AA14" s="255">
        <f>SUMPRODUCT(A17:INDEX($A$17:$A$116,COUNTIF($AA$17:$AA$116,"&gt;0")),T17:INDEX($T$17:$T$116,COUNTIF($AA$17:$AA$116,"&gt;0")))/SUMIF($AA$17:$AA$116,"&gt;0",$A$17:$A$116)</f>
        <v>0.29135365853658535</v>
      </c>
      <c r="AB14" s="215"/>
      <c r="AG14" s="66"/>
    </row>
    <row r="15" spans="1:33" ht="65.25" customHeight="1" thickBot="1" x14ac:dyDescent="0.25">
      <c r="A15" s="160" t="s">
        <v>7</v>
      </c>
      <c r="B15" s="161" t="s">
        <v>49</v>
      </c>
      <c r="C15" s="162" t="s">
        <v>16</v>
      </c>
      <c r="D15" s="103"/>
      <c r="E15" s="163" t="s">
        <v>15</v>
      </c>
      <c r="F15" s="164" t="s">
        <v>37</v>
      </c>
      <c r="G15" s="162" t="s">
        <v>36</v>
      </c>
      <c r="H15" s="103"/>
      <c r="I15" s="165" t="s">
        <v>8</v>
      </c>
      <c r="J15" s="164" t="s">
        <v>9</v>
      </c>
      <c r="K15" s="162" t="s">
        <v>38</v>
      </c>
      <c r="L15" s="107"/>
      <c r="M15" s="166" t="s">
        <v>30</v>
      </c>
      <c r="N15" s="167" t="s">
        <v>22</v>
      </c>
      <c r="O15" s="287" t="s">
        <v>108</v>
      </c>
      <c r="P15" s="288"/>
      <c r="Q15" s="285" t="s">
        <v>109</v>
      </c>
      <c r="R15" s="286"/>
      <c r="S15" s="290" t="s">
        <v>110</v>
      </c>
      <c r="T15" s="291"/>
      <c r="U15" s="110"/>
      <c r="V15" s="216" t="s">
        <v>31</v>
      </c>
      <c r="W15" s="217" t="s">
        <v>34</v>
      </c>
      <c r="X15" s="218" t="s">
        <v>35</v>
      </c>
      <c r="Y15" s="219" t="s">
        <v>33</v>
      </c>
      <c r="Z15" s="193"/>
      <c r="AA15" s="220" t="s">
        <v>46</v>
      </c>
      <c r="AB15" s="168" t="s">
        <v>32</v>
      </c>
      <c r="AC15" s="292" t="s">
        <v>39</v>
      </c>
      <c r="AD15" s="293"/>
      <c r="AE15" s="168" t="s">
        <v>40</v>
      </c>
      <c r="AF15" s="26"/>
      <c r="AG15" s="258">
        <v>2</v>
      </c>
    </row>
    <row r="16" spans="1:33" ht="15" customHeight="1" x14ac:dyDescent="0.25">
      <c r="A16" s="5"/>
      <c r="B16" s="6"/>
      <c r="C16" s="201"/>
      <c r="D16" s="202"/>
      <c r="E16" s="203"/>
      <c r="F16" s="7"/>
      <c r="G16" s="201"/>
      <c r="H16" s="202"/>
      <c r="I16" s="203"/>
      <c r="J16" s="7"/>
      <c r="K16" s="201"/>
      <c r="L16" s="108"/>
      <c r="M16" s="204"/>
      <c r="N16" s="204"/>
      <c r="O16" s="205" t="s">
        <v>167</v>
      </c>
      <c r="P16" s="206" t="s">
        <v>177</v>
      </c>
      <c r="Q16" s="207" t="s">
        <v>178</v>
      </c>
      <c r="R16" s="208" t="s">
        <v>179</v>
      </c>
      <c r="S16" s="207" t="s">
        <v>178</v>
      </c>
      <c r="T16" s="209" t="s">
        <v>179</v>
      </c>
      <c r="U16" s="111"/>
      <c r="V16" s="210"/>
      <c r="W16" s="210"/>
      <c r="X16" s="211"/>
      <c r="Y16" s="212"/>
      <c r="Z16" s="111"/>
      <c r="AA16" s="210"/>
      <c r="AB16" s="210"/>
      <c r="AC16" s="211" t="s">
        <v>180</v>
      </c>
      <c r="AD16" s="213" t="s">
        <v>181</v>
      </c>
      <c r="AE16" s="214"/>
      <c r="AF16" s="26"/>
      <c r="AG16" s="257"/>
    </row>
    <row r="17" spans="1:33" ht="15" customHeight="1" x14ac:dyDescent="0.25">
      <c r="A17" s="45">
        <v>1</v>
      </c>
      <c r="B17" s="15">
        <v>0</v>
      </c>
      <c r="C17" s="82">
        <f>C$3</f>
        <v>9</v>
      </c>
      <c r="D17" s="104"/>
      <c r="E17" s="92">
        <f t="shared" ref="E17:E48" si="0">IF(OR($A17&lt;2,AND(G$13&gt;0,$A17&gt;G$13)),0,IF(AND($A17&gt;=G$10,G$10&gt;0),G$11,IF(AND($A17&gt;=G$7,G$7&gt;0),G$8,0)))</f>
        <v>0</v>
      </c>
      <c r="F17" s="14">
        <v>0</v>
      </c>
      <c r="G17" s="84">
        <f>F17</f>
        <v>0</v>
      </c>
      <c r="H17" s="104"/>
      <c r="I17" s="94">
        <f>IF(($A17&lt;K$5),1,IF(AND($A17&gt;K$13,K$13&gt;0),#REF!,IF(AND($A17&gt;=K$10,K$10&gt;0),ROUND(#REF!+K$11,4),IF(AND($A17&gt;=K$7,K$7&gt;0),ROUND(#REF!+K$8,4),K$4))))</f>
        <v>1</v>
      </c>
      <c r="J17" s="17">
        <f>IF($A17&lt;K$5, K$3, IF(K$2=0,IF(K$14&gt;0,IF(K$3*K$14&lt;ROUND(#REF!*I17, 3),K$3*K$14,ROUND(#REF!*I17, 3)),ROUND(#REF!*I17, 3)),IF(K$14&gt;0,IF(K$3*K$14&lt;ROUND(K$3*I17, 3),K$3*K$14,ROUND(K$3*I17, 3)),ROUND(K$3*I17, 3))))</f>
        <v>0.02</v>
      </c>
      <c r="K17" s="85">
        <f>J17</f>
        <v>0.02</v>
      </c>
      <c r="L17" s="108"/>
      <c r="M17" s="41">
        <f t="shared" ref="M17:M48" si="1">ROUND(C17*N17-K17*$O$6,2)</f>
        <v>1.8</v>
      </c>
      <c r="N17" s="41">
        <f t="shared" ref="N17:N48" si="2">ROUND(ROUND(K17,2)*$O$4,2)</f>
        <v>0.2</v>
      </c>
      <c r="O17" s="62">
        <f>ROUND(J17*$O$6,2)</f>
        <v>0</v>
      </c>
      <c r="P17" s="65">
        <f t="shared" ref="P17:P48" si="3">O17/$O$10</f>
        <v>0</v>
      </c>
      <c r="Q17" s="19">
        <f>ROUND(O17/N17,0)</f>
        <v>0</v>
      </c>
      <c r="R17" s="20">
        <v>0</v>
      </c>
      <c r="S17" s="23">
        <f>Q17+C17</f>
        <v>9</v>
      </c>
      <c r="T17" s="87">
        <v>0</v>
      </c>
      <c r="U17" s="111"/>
      <c r="V17" s="96">
        <f t="shared" ref="V17:V48" si="4">ROUND(K17*$O$8,2)</f>
        <v>4.3</v>
      </c>
      <c r="W17" s="43">
        <f>ROUND(O17+V17,2)</f>
        <v>4.3</v>
      </c>
      <c r="X17" s="60">
        <f>IF(O17&gt;0,ROUND(V17/O17,2),0)</f>
        <v>0</v>
      </c>
      <c r="Y17" s="90">
        <f t="shared" ref="Y17:Y48" si="5">IF($O$10&gt;0,ROUND(V17/$O$10,2),0)</f>
        <v>0</v>
      </c>
      <c r="Z17" s="113"/>
      <c r="AA17" s="98">
        <f t="shared" ref="AA17:AA48" si="6">IF($O$10&gt;0,ROUND($O$10-W17,2),0)</f>
        <v>2995.7</v>
      </c>
      <c r="AB17" s="58">
        <f t="shared" ref="AB17:AB48" si="7">IF($O$10&gt;0,ROUND(W17/$O$10,2),0)</f>
        <v>0</v>
      </c>
      <c r="AC17" s="54">
        <f t="shared" ref="AC17:AC48" si="8">IF(AND(AA17&gt;0,$O$4&gt;0),($O$10-O17-V17*$O$9)/N17,0)</f>
        <v>14997.85</v>
      </c>
      <c r="AD17" s="55">
        <f>IF(AC17&gt;0,AC17+G17,0)</f>
        <v>14997.85</v>
      </c>
      <c r="AE17" s="47">
        <v>1</v>
      </c>
      <c r="AG17" s="257"/>
    </row>
    <row r="18" spans="1:33" ht="15" x14ac:dyDescent="0.25">
      <c r="A18" s="45">
        <v>2</v>
      </c>
      <c r="B18" s="15">
        <f t="shared" ref="B18:B49" si="9">IF(AND($A18&gt;=C$10,C$10&gt;0),0,IF(AND($A18&gt;=C$7,C$7&gt;0),C$8,0))</f>
        <v>0</v>
      </c>
      <c r="C18" s="82">
        <f t="shared" ref="C18:C49" si="10">IF(AND($A18&gt;=C$10,C$10&gt;0),C$11,C17+B18)</f>
        <v>9</v>
      </c>
      <c r="D18" s="104"/>
      <c r="E18" s="92">
        <f t="shared" si="0"/>
        <v>0</v>
      </c>
      <c r="F18" s="14">
        <f>G$3+E18</f>
        <v>86</v>
      </c>
      <c r="G18" s="84">
        <f t="shared" ref="G18:G36" si="11">G17+F18</f>
        <v>86</v>
      </c>
      <c r="H18" s="104"/>
      <c r="I18" s="94">
        <f t="shared" ref="I18:I49" si="12">IF(($A18&lt;K$5),1,IF(AND($A18&gt;K$13,K$13&gt;0),I17,IF(AND($A18&gt;=K$10,K$10&gt;0),ROUND(I17+K$11,4),IF(AND($A18&gt;=K$7,K$7&gt;0),ROUND(I17+K$8,4),K$4))))</f>
        <v>0.5</v>
      </c>
      <c r="J18" s="17">
        <f t="shared" ref="J18:J49" si="13">IF($A18&lt;K$5, K$3, IF(K$2=0,IF(K$14&gt;0,IF(K$3*K$14&lt;ROUND(J17*I18, 3),K$3*K$14,ROUND(J17*I18, 3)),ROUND(J17*I18, 3)),IF(K$14&gt;0,IF(K$3*K$14&lt;ROUND(K$3*I18, 3),K$3*K$14,ROUND(K$3*I18, 3)),ROUND(K$3*I18, 3))))</f>
        <v>0.01</v>
      </c>
      <c r="K18" s="85">
        <f t="shared" ref="K18:K36" si="14">K17+ROUND(J18,2)</f>
        <v>0.03</v>
      </c>
      <c r="L18" s="108"/>
      <c r="M18" s="41">
        <f t="shared" si="1"/>
        <v>2.7</v>
      </c>
      <c r="N18" s="41">
        <f t="shared" si="2"/>
        <v>0.3</v>
      </c>
      <c r="O18" s="62">
        <f t="shared" ref="O18:O49" si="15">ROUND((ROUND(K17,2)*(G18-G17)*$O$4+O17+J18*$O$6),2)</f>
        <v>17.2</v>
      </c>
      <c r="P18" s="65">
        <f t="shared" si="3"/>
        <v>5.7333333333333333E-3</v>
      </c>
      <c r="Q18" s="19">
        <f>ROUND(O18/N18,0)</f>
        <v>57</v>
      </c>
      <c r="R18" s="20">
        <f>ROUND(Q18/G18,2)</f>
        <v>0.66</v>
      </c>
      <c r="S18" s="23">
        <f t="shared" ref="S18:S81" si="16">Q18+C18</f>
        <v>66</v>
      </c>
      <c r="T18" s="87">
        <f>ROUND(S18/G18,2)</f>
        <v>0.77</v>
      </c>
      <c r="U18" s="111"/>
      <c r="V18" s="96">
        <f t="shared" si="4"/>
        <v>6.46</v>
      </c>
      <c r="W18" s="43">
        <f t="shared" ref="W18:W36" si="17">ROUND(O18+V18,2)</f>
        <v>23.66</v>
      </c>
      <c r="X18" s="60">
        <f t="shared" ref="X18:X36" si="18">IF(O18&gt;0,ROUND(V18/O18,2),0)</f>
        <v>0.38</v>
      </c>
      <c r="Y18" s="90">
        <f t="shared" si="5"/>
        <v>0</v>
      </c>
      <c r="Z18" s="113"/>
      <c r="AA18" s="98">
        <f t="shared" si="6"/>
        <v>2976.34</v>
      </c>
      <c r="AB18" s="58">
        <f t="shared" si="7"/>
        <v>0.01</v>
      </c>
      <c r="AC18" s="54">
        <f t="shared" si="8"/>
        <v>9940.5133333333342</v>
      </c>
      <c r="AD18" s="55">
        <f t="shared" ref="AD18:AD36" si="19">IF(AC18&gt;0,AC18+G18,0)</f>
        <v>10026.513333333334</v>
      </c>
      <c r="AE18" s="47">
        <v>2</v>
      </c>
      <c r="AG18" s="66"/>
    </row>
    <row r="19" spans="1:33" ht="15" x14ac:dyDescent="0.25">
      <c r="A19" s="45">
        <v>3</v>
      </c>
      <c r="B19" s="15">
        <f t="shared" si="9"/>
        <v>0</v>
      </c>
      <c r="C19" s="82">
        <f t="shared" si="10"/>
        <v>9</v>
      </c>
      <c r="D19" s="104"/>
      <c r="E19" s="92">
        <f t="shared" si="0"/>
        <v>0</v>
      </c>
      <c r="F19" s="14">
        <f>F18+E19</f>
        <v>86</v>
      </c>
      <c r="G19" s="84">
        <f>G18+F19</f>
        <v>172</v>
      </c>
      <c r="H19" s="104"/>
      <c r="I19" s="94">
        <f t="shared" si="12"/>
        <v>0.6</v>
      </c>
      <c r="J19" s="17">
        <f t="shared" si="13"/>
        <v>1.2E-2</v>
      </c>
      <c r="K19" s="85">
        <f t="shared" si="14"/>
        <v>0.04</v>
      </c>
      <c r="L19" s="108"/>
      <c r="M19" s="41">
        <f t="shared" si="1"/>
        <v>3.6</v>
      </c>
      <c r="N19" s="41">
        <f t="shared" si="2"/>
        <v>0.4</v>
      </c>
      <c r="O19" s="62">
        <f t="shared" si="15"/>
        <v>43</v>
      </c>
      <c r="P19" s="65">
        <f t="shared" si="3"/>
        <v>1.4333333333333333E-2</v>
      </c>
      <c r="Q19" s="19">
        <f t="shared" ref="Q19:Q82" si="20">ROUND(O19/N19,0)</f>
        <v>108</v>
      </c>
      <c r="R19" s="20">
        <f t="shared" ref="R19:R82" si="21">ROUND(Q19/G19,2)</f>
        <v>0.63</v>
      </c>
      <c r="S19" s="23">
        <f t="shared" si="16"/>
        <v>117</v>
      </c>
      <c r="T19" s="87">
        <f t="shared" ref="T19:T82" si="22">ROUND(S19/G19,2)</f>
        <v>0.68</v>
      </c>
      <c r="U19" s="111"/>
      <c r="V19" s="96">
        <f t="shared" si="4"/>
        <v>8.61</v>
      </c>
      <c r="W19" s="43">
        <f t="shared" si="17"/>
        <v>51.61</v>
      </c>
      <c r="X19" s="60">
        <f t="shared" si="18"/>
        <v>0.2</v>
      </c>
      <c r="Y19" s="90">
        <f t="shared" si="5"/>
        <v>0</v>
      </c>
      <c r="Z19" s="113"/>
      <c r="AA19" s="98">
        <f t="shared" si="6"/>
        <v>2948.39</v>
      </c>
      <c r="AB19" s="58">
        <f t="shared" si="7"/>
        <v>0.02</v>
      </c>
      <c r="AC19" s="54">
        <f t="shared" si="8"/>
        <v>7390.3474999999999</v>
      </c>
      <c r="AD19" s="55">
        <f t="shared" si="19"/>
        <v>7562.3474999999999</v>
      </c>
      <c r="AE19" s="47">
        <v>3</v>
      </c>
      <c r="AG19" s="66"/>
    </row>
    <row r="20" spans="1:33" ht="15" x14ac:dyDescent="0.25">
      <c r="A20" s="45">
        <v>4</v>
      </c>
      <c r="B20" s="15">
        <f t="shared" si="9"/>
        <v>1</v>
      </c>
      <c r="C20" s="82">
        <f t="shared" si="10"/>
        <v>10</v>
      </c>
      <c r="D20" s="104"/>
      <c r="E20" s="92">
        <f t="shared" si="0"/>
        <v>-77</v>
      </c>
      <c r="F20" s="14">
        <f t="shared" ref="F20:F36" si="23">F19+E20</f>
        <v>9</v>
      </c>
      <c r="G20" s="84">
        <f t="shared" si="11"/>
        <v>181</v>
      </c>
      <c r="H20" s="104"/>
      <c r="I20" s="94">
        <f t="shared" si="12"/>
        <v>0.7</v>
      </c>
      <c r="J20" s="17">
        <f t="shared" si="13"/>
        <v>1.4E-2</v>
      </c>
      <c r="K20" s="85">
        <f t="shared" si="14"/>
        <v>0.05</v>
      </c>
      <c r="L20" s="108"/>
      <c r="M20" s="41">
        <f t="shared" si="1"/>
        <v>5</v>
      </c>
      <c r="N20" s="41">
        <f t="shared" si="2"/>
        <v>0.5</v>
      </c>
      <c r="O20" s="62">
        <f t="shared" si="15"/>
        <v>46.6</v>
      </c>
      <c r="P20" s="65">
        <f t="shared" si="3"/>
        <v>1.5533333333333333E-2</v>
      </c>
      <c r="Q20" s="19">
        <f t="shared" si="20"/>
        <v>93</v>
      </c>
      <c r="R20" s="20">
        <f t="shared" si="21"/>
        <v>0.51</v>
      </c>
      <c r="S20" s="23">
        <f t="shared" si="16"/>
        <v>103</v>
      </c>
      <c r="T20" s="87">
        <f t="shared" si="22"/>
        <v>0.56999999999999995</v>
      </c>
      <c r="U20" s="111"/>
      <c r="V20" s="96">
        <f t="shared" si="4"/>
        <v>10.76</v>
      </c>
      <c r="W20" s="43">
        <f t="shared" si="17"/>
        <v>57.36</v>
      </c>
      <c r="X20" s="60">
        <f t="shared" si="18"/>
        <v>0.23</v>
      </c>
      <c r="Y20" s="90">
        <f t="shared" si="5"/>
        <v>0</v>
      </c>
      <c r="Z20" s="113"/>
      <c r="AA20" s="98">
        <f t="shared" si="6"/>
        <v>2942.64</v>
      </c>
      <c r="AB20" s="58">
        <f t="shared" si="7"/>
        <v>0.02</v>
      </c>
      <c r="AC20" s="54">
        <f t="shared" si="8"/>
        <v>5904.6480000000001</v>
      </c>
      <c r="AD20" s="55">
        <f t="shared" si="19"/>
        <v>6085.6480000000001</v>
      </c>
      <c r="AE20" s="47">
        <v>4</v>
      </c>
      <c r="AG20" s="66"/>
    </row>
    <row r="21" spans="1:33" ht="15" x14ac:dyDescent="0.25">
      <c r="A21" s="45">
        <v>5</v>
      </c>
      <c r="B21" s="16">
        <f t="shared" si="9"/>
        <v>1</v>
      </c>
      <c r="C21" s="83">
        <f t="shared" si="10"/>
        <v>11</v>
      </c>
      <c r="D21" s="104"/>
      <c r="E21" s="93">
        <f t="shared" si="0"/>
        <v>0</v>
      </c>
      <c r="F21" s="11">
        <f t="shared" si="23"/>
        <v>9</v>
      </c>
      <c r="G21" s="83">
        <f t="shared" si="11"/>
        <v>190</v>
      </c>
      <c r="H21" s="104"/>
      <c r="I21" s="95">
        <f t="shared" si="12"/>
        <v>0.8</v>
      </c>
      <c r="J21" s="2">
        <f t="shared" si="13"/>
        <v>1.6E-2</v>
      </c>
      <c r="K21" s="86">
        <f t="shared" si="14"/>
        <v>7.0000000000000007E-2</v>
      </c>
      <c r="L21" s="108"/>
      <c r="M21" s="42">
        <f t="shared" si="1"/>
        <v>7.7</v>
      </c>
      <c r="N21" s="42">
        <f t="shared" si="2"/>
        <v>0.7</v>
      </c>
      <c r="O21" s="63">
        <f t="shared" si="15"/>
        <v>51.1</v>
      </c>
      <c r="P21" s="64">
        <f t="shared" si="3"/>
        <v>1.7033333333333334E-2</v>
      </c>
      <c r="Q21" s="21">
        <f t="shared" si="20"/>
        <v>73</v>
      </c>
      <c r="R21" s="22">
        <f t="shared" si="21"/>
        <v>0.38</v>
      </c>
      <c r="S21" s="25">
        <f t="shared" si="16"/>
        <v>84</v>
      </c>
      <c r="T21" s="88">
        <f t="shared" si="22"/>
        <v>0.44</v>
      </c>
      <c r="U21" s="111"/>
      <c r="V21" s="97">
        <f t="shared" si="4"/>
        <v>15.06</v>
      </c>
      <c r="W21" s="44">
        <f t="shared" si="17"/>
        <v>66.16</v>
      </c>
      <c r="X21" s="61">
        <f t="shared" si="18"/>
        <v>0.28999999999999998</v>
      </c>
      <c r="Y21" s="91">
        <f t="shared" si="5"/>
        <v>0.01</v>
      </c>
      <c r="Z21" s="113"/>
      <c r="AA21" s="99">
        <f t="shared" si="6"/>
        <v>2933.84</v>
      </c>
      <c r="AB21" s="59">
        <f t="shared" si="7"/>
        <v>0.02</v>
      </c>
      <c r="AC21" s="56">
        <f t="shared" si="8"/>
        <v>4210.5628571428579</v>
      </c>
      <c r="AD21" s="57">
        <f t="shared" si="19"/>
        <v>4400.5628571428579</v>
      </c>
      <c r="AE21" s="47">
        <v>5</v>
      </c>
      <c r="AG21" s="66"/>
    </row>
    <row r="22" spans="1:33" ht="15" x14ac:dyDescent="0.25">
      <c r="A22" s="45">
        <v>6</v>
      </c>
      <c r="B22" s="15">
        <f t="shared" si="9"/>
        <v>1</v>
      </c>
      <c r="C22" s="82">
        <f t="shared" si="10"/>
        <v>12</v>
      </c>
      <c r="D22" s="104"/>
      <c r="E22" s="92">
        <f t="shared" si="0"/>
        <v>0</v>
      </c>
      <c r="F22" s="14">
        <f t="shared" si="23"/>
        <v>9</v>
      </c>
      <c r="G22" s="84">
        <f t="shared" si="11"/>
        <v>199</v>
      </c>
      <c r="H22" s="104"/>
      <c r="I22" s="94">
        <f t="shared" si="12"/>
        <v>0.9</v>
      </c>
      <c r="J22" s="17">
        <f t="shared" si="13"/>
        <v>1.7999999999999999E-2</v>
      </c>
      <c r="K22" s="85">
        <f t="shared" si="14"/>
        <v>9.0000000000000011E-2</v>
      </c>
      <c r="L22" s="108"/>
      <c r="M22" s="41">
        <f t="shared" si="1"/>
        <v>10.8</v>
      </c>
      <c r="N22" s="41">
        <f t="shared" si="2"/>
        <v>0.9</v>
      </c>
      <c r="O22" s="62">
        <f t="shared" si="15"/>
        <v>57.4</v>
      </c>
      <c r="P22" s="65">
        <f t="shared" si="3"/>
        <v>1.9133333333333332E-2</v>
      </c>
      <c r="Q22" s="19">
        <f t="shared" si="20"/>
        <v>64</v>
      </c>
      <c r="R22" s="20">
        <f t="shared" si="21"/>
        <v>0.32</v>
      </c>
      <c r="S22" s="23">
        <f t="shared" si="16"/>
        <v>76</v>
      </c>
      <c r="T22" s="87">
        <f t="shared" si="22"/>
        <v>0.38</v>
      </c>
      <c r="U22" s="111"/>
      <c r="V22" s="96">
        <f t="shared" si="4"/>
        <v>19.37</v>
      </c>
      <c r="W22" s="43">
        <f t="shared" si="17"/>
        <v>76.77</v>
      </c>
      <c r="X22" s="60">
        <f t="shared" si="18"/>
        <v>0.34</v>
      </c>
      <c r="Y22" s="90">
        <f t="shared" si="5"/>
        <v>0.01</v>
      </c>
      <c r="Z22" s="113"/>
      <c r="AA22" s="98">
        <f t="shared" si="6"/>
        <v>2923.23</v>
      </c>
      <c r="AB22" s="58">
        <f t="shared" si="7"/>
        <v>0.03</v>
      </c>
      <c r="AC22" s="54">
        <f t="shared" si="8"/>
        <v>3267.4033333333332</v>
      </c>
      <c r="AD22" s="55">
        <f t="shared" si="19"/>
        <v>3466.4033333333332</v>
      </c>
      <c r="AE22" s="47">
        <v>6</v>
      </c>
      <c r="AG22" s="66"/>
    </row>
    <row r="23" spans="1:33" ht="15" customHeight="1" x14ac:dyDescent="0.25">
      <c r="A23" s="45">
        <v>7</v>
      </c>
      <c r="B23" s="15">
        <f t="shared" si="9"/>
        <v>1</v>
      </c>
      <c r="C23" s="82">
        <f t="shared" si="10"/>
        <v>13</v>
      </c>
      <c r="D23" s="104"/>
      <c r="E23" s="92">
        <f t="shared" si="0"/>
        <v>0</v>
      </c>
      <c r="F23" s="14">
        <f t="shared" si="23"/>
        <v>9</v>
      </c>
      <c r="G23" s="84">
        <f t="shared" si="11"/>
        <v>208</v>
      </c>
      <c r="H23" s="104"/>
      <c r="I23" s="94">
        <f t="shared" si="12"/>
        <v>1</v>
      </c>
      <c r="J23" s="17">
        <f t="shared" si="13"/>
        <v>0.02</v>
      </c>
      <c r="K23" s="85">
        <f t="shared" si="14"/>
        <v>0.11000000000000001</v>
      </c>
      <c r="L23" s="108"/>
      <c r="M23" s="41">
        <f t="shared" si="1"/>
        <v>14.3</v>
      </c>
      <c r="N23" s="41">
        <f t="shared" si="2"/>
        <v>1.1000000000000001</v>
      </c>
      <c r="O23" s="62">
        <f t="shared" si="15"/>
        <v>65.5</v>
      </c>
      <c r="P23" s="65">
        <f t="shared" si="3"/>
        <v>2.1833333333333333E-2</v>
      </c>
      <c r="Q23" s="19">
        <f t="shared" si="20"/>
        <v>60</v>
      </c>
      <c r="R23" s="20">
        <f t="shared" si="21"/>
        <v>0.28999999999999998</v>
      </c>
      <c r="S23" s="23">
        <f t="shared" si="16"/>
        <v>73</v>
      </c>
      <c r="T23" s="87">
        <f t="shared" si="22"/>
        <v>0.35</v>
      </c>
      <c r="U23" s="111"/>
      <c r="V23" s="96">
        <f t="shared" si="4"/>
        <v>23.67</v>
      </c>
      <c r="W23" s="43">
        <f t="shared" si="17"/>
        <v>89.17</v>
      </c>
      <c r="X23" s="60">
        <f t="shared" si="18"/>
        <v>0.36</v>
      </c>
      <c r="Y23" s="90">
        <f t="shared" si="5"/>
        <v>0.01</v>
      </c>
      <c r="Z23" s="113"/>
      <c r="AA23" s="98">
        <f t="shared" si="6"/>
        <v>2910.83</v>
      </c>
      <c r="AB23" s="58">
        <f t="shared" si="7"/>
        <v>0.03</v>
      </c>
      <c r="AC23" s="54">
        <f t="shared" si="8"/>
        <v>2665.5754545454542</v>
      </c>
      <c r="AD23" s="55">
        <f t="shared" si="19"/>
        <v>2873.5754545454542</v>
      </c>
      <c r="AE23" s="47">
        <v>7</v>
      </c>
      <c r="AG23" s="289"/>
    </row>
    <row r="24" spans="1:33" ht="15" customHeight="1" x14ac:dyDescent="0.25">
      <c r="A24" s="45">
        <v>8</v>
      </c>
      <c r="B24" s="15">
        <f t="shared" si="9"/>
        <v>1</v>
      </c>
      <c r="C24" s="82">
        <f t="shared" si="10"/>
        <v>14</v>
      </c>
      <c r="D24" s="104"/>
      <c r="E24" s="92">
        <f t="shared" si="0"/>
        <v>0</v>
      </c>
      <c r="F24" s="14">
        <f t="shared" si="23"/>
        <v>9</v>
      </c>
      <c r="G24" s="84">
        <f t="shared" si="11"/>
        <v>217</v>
      </c>
      <c r="H24" s="104"/>
      <c r="I24" s="94">
        <f t="shared" si="12"/>
        <v>1.1000000000000001</v>
      </c>
      <c r="J24" s="17">
        <f t="shared" si="13"/>
        <v>2.1999999999999999E-2</v>
      </c>
      <c r="K24" s="85">
        <f t="shared" si="14"/>
        <v>0.13</v>
      </c>
      <c r="L24" s="108"/>
      <c r="M24" s="41">
        <f t="shared" si="1"/>
        <v>18.2</v>
      </c>
      <c r="N24" s="41">
        <f t="shared" si="2"/>
        <v>1.3</v>
      </c>
      <c r="O24" s="62">
        <f t="shared" si="15"/>
        <v>75.400000000000006</v>
      </c>
      <c r="P24" s="65">
        <f t="shared" si="3"/>
        <v>2.5133333333333334E-2</v>
      </c>
      <c r="Q24" s="19">
        <f t="shared" si="20"/>
        <v>58</v>
      </c>
      <c r="R24" s="20">
        <f t="shared" si="21"/>
        <v>0.27</v>
      </c>
      <c r="S24" s="23">
        <f t="shared" si="16"/>
        <v>72</v>
      </c>
      <c r="T24" s="87">
        <f t="shared" si="22"/>
        <v>0.33</v>
      </c>
      <c r="U24" s="111"/>
      <c r="V24" s="96">
        <f t="shared" si="4"/>
        <v>27.98</v>
      </c>
      <c r="W24" s="43">
        <f t="shared" si="17"/>
        <v>103.38</v>
      </c>
      <c r="X24" s="60">
        <f t="shared" si="18"/>
        <v>0.37</v>
      </c>
      <c r="Y24" s="90">
        <f t="shared" si="5"/>
        <v>0.01</v>
      </c>
      <c r="Z24" s="113"/>
      <c r="AA24" s="98">
        <f t="shared" si="6"/>
        <v>2896.62</v>
      </c>
      <c r="AB24" s="58">
        <f t="shared" si="7"/>
        <v>0.03</v>
      </c>
      <c r="AC24" s="54">
        <f t="shared" si="8"/>
        <v>2247.54</v>
      </c>
      <c r="AD24" s="55">
        <f t="shared" si="19"/>
        <v>2464.54</v>
      </c>
      <c r="AE24" s="47">
        <v>8</v>
      </c>
      <c r="AG24" s="289"/>
    </row>
    <row r="25" spans="1:33" ht="17.25" customHeight="1" x14ac:dyDescent="0.25">
      <c r="A25" s="45">
        <v>9</v>
      </c>
      <c r="B25" s="15">
        <f t="shared" si="9"/>
        <v>1</v>
      </c>
      <c r="C25" s="82">
        <f t="shared" si="10"/>
        <v>15</v>
      </c>
      <c r="D25" s="104"/>
      <c r="E25" s="92">
        <f t="shared" si="0"/>
        <v>0</v>
      </c>
      <c r="F25" s="14">
        <f t="shared" si="23"/>
        <v>9</v>
      </c>
      <c r="G25" s="84">
        <f t="shared" si="11"/>
        <v>226</v>
      </c>
      <c r="H25" s="104"/>
      <c r="I25" s="94">
        <f t="shared" si="12"/>
        <v>1.2</v>
      </c>
      <c r="J25" s="17">
        <f t="shared" si="13"/>
        <v>2.4E-2</v>
      </c>
      <c r="K25" s="85">
        <f t="shared" si="14"/>
        <v>0.15</v>
      </c>
      <c r="L25" s="108"/>
      <c r="M25" s="41">
        <f t="shared" si="1"/>
        <v>22.5</v>
      </c>
      <c r="N25" s="41">
        <f t="shared" si="2"/>
        <v>1.5</v>
      </c>
      <c r="O25" s="62">
        <f t="shared" si="15"/>
        <v>87.1</v>
      </c>
      <c r="P25" s="65">
        <f t="shared" si="3"/>
        <v>2.9033333333333331E-2</v>
      </c>
      <c r="Q25" s="19">
        <f t="shared" si="20"/>
        <v>58</v>
      </c>
      <c r="R25" s="20">
        <f t="shared" si="21"/>
        <v>0.26</v>
      </c>
      <c r="S25" s="23">
        <f t="shared" si="16"/>
        <v>73</v>
      </c>
      <c r="T25" s="87">
        <f t="shared" si="22"/>
        <v>0.32</v>
      </c>
      <c r="U25" s="111"/>
      <c r="V25" s="96">
        <f t="shared" si="4"/>
        <v>32.28</v>
      </c>
      <c r="W25" s="43">
        <f t="shared" si="17"/>
        <v>119.38</v>
      </c>
      <c r="X25" s="60">
        <f t="shared" si="18"/>
        <v>0.37</v>
      </c>
      <c r="Y25" s="90">
        <f t="shared" si="5"/>
        <v>0.01</v>
      </c>
      <c r="Z25" s="113"/>
      <c r="AA25" s="98">
        <f t="shared" si="6"/>
        <v>2880.62</v>
      </c>
      <c r="AB25" s="58">
        <f t="shared" si="7"/>
        <v>0.04</v>
      </c>
      <c r="AC25" s="54">
        <f t="shared" si="8"/>
        <v>1939.7813333333334</v>
      </c>
      <c r="AD25" s="55">
        <f t="shared" si="19"/>
        <v>2165.7813333333334</v>
      </c>
      <c r="AE25" s="47">
        <v>9</v>
      </c>
      <c r="AG25" s="51"/>
    </row>
    <row r="26" spans="1:33" ht="15" x14ac:dyDescent="0.25">
      <c r="A26" s="45">
        <v>10</v>
      </c>
      <c r="B26" s="16">
        <f t="shared" si="9"/>
        <v>1</v>
      </c>
      <c r="C26" s="83">
        <f t="shared" si="10"/>
        <v>16</v>
      </c>
      <c r="D26" s="104"/>
      <c r="E26" s="93">
        <f t="shared" si="0"/>
        <v>0</v>
      </c>
      <c r="F26" s="11">
        <f t="shared" si="23"/>
        <v>9</v>
      </c>
      <c r="G26" s="83">
        <f t="shared" si="11"/>
        <v>235</v>
      </c>
      <c r="H26" s="104"/>
      <c r="I26" s="95">
        <f t="shared" si="12"/>
        <v>1.3</v>
      </c>
      <c r="J26" s="2">
        <f t="shared" si="13"/>
        <v>2.5999999999999999E-2</v>
      </c>
      <c r="K26" s="86">
        <f t="shared" si="14"/>
        <v>0.18</v>
      </c>
      <c r="L26" s="108"/>
      <c r="M26" s="42">
        <f t="shared" si="1"/>
        <v>28.8</v>
      </c>
      <c r="N26" s="42">
        <f t="shared" si="2"/>
        <v>1.8</v>
      </c>
      <c r="O26" s="63">
        <f t="shared" si="15"/>
        <v>100.6</v>
      </c>
      <c r="P26" s="64">
        <f t="shared" si="3"/>
        <v>3.3533333333333332E-2</v>
      </c>
      <c r="Q26" s="21">
        <f t="shared" si="20"/>
        <v>56</v>
      </c>
      <c r="R26" s="22">
        <f t="shared" si="21"/>
        <v>0.24</v>
      </c>
      <c r="S26" s="25">
        <f t="shared" si="16"/>
        <v>72</v>
      </c>
      <c r="T26" s="88">
        <f t="shared" si="22"/>
        <v>0.31</v>
      </c>
      <c r="U26" s="111"/>
      <c r="V26" s="97">
        <f t="shared" si="4"/>
        <v>38.74</v>
      </c>
      <c r="W26" s="44">
        <f t="shared" si="17"/>
        <v>139.34</v>
      </c>
      <c r="X26" s="61">
        <f t="shared" si="18"/>
        <v>0.39</v>
      </c>
      <c r="Y26" s="91">
        <f t="shared" si="5"/>
        <v>0.01</v>
      </c>
      <c r="Z26" s="113"/>
      <c r="AA26" s="99">
        <f t="shared" si="6"/>
        <v>2860.66</v>
      </c>
      <c r="AB26" s="59">
        <f t="shared" si="7"/>
        <v>0.05</v>
      </c>
      <c r="AC26" s="56">
        <f t="shared" si="8"/>
        <v>1608.6255555555556</v>
      </c>
      <c r="AD26" s="57">
        <f t="shared" si="19"/>
        <v>1843.6255555555556</v>
      </c>
      <c r="AE26" s="47">
        <v>10</v>
      </c>
    </row>
    <row r="27" spans="1:33" ht="15" x14ac:dyDescent="0.25">
      <c r="A27" s="45">
        <v>11</v>
      </c>
      <c r="B27" s="15">
        <f t="shared" si="9"/>
        <v>1</v>
      </c>
      <c r="C27" s="82">
        <f t="shared" si="10"/>
        <v>17</v>
      </c>
      <c r="D27" s="104"/>
      <c r="E27" s="92">
        <f t="shared" si="0"/>
        <v>0</v>
      </c>
      <c r="F27" s="14">
        <f t="shared" si="23"/>
        <v>9</v>
      </c>
      <c r="G27" s="84">
        <f t="shared" si="11"/>
        <v>244</v>
      </c>
      <c r="H27" s="104"/>
      <c r="I27" s="94">
        <f t="shared" si="12"/>
        <v>1.4</v>
      </c>
      <c r="J27" s="17">
        <f t="shared" si="13"/>
        <v>2.8000000000000001E-2</v>
      </c>
      <c r="K27" s="85">
        <f t="shared" si="14"/>
        <v>0.21</v>
      </c>
      <c r="L27" s="108"/>
      <c r="M27" s="41">
        <f t="shared" si="1"/>
        <v>35.700000000000003</v>
      </c>
      <c r="N27" s="41">
        <f t="shared" si="2"/>
        <v>2.1</v>
      </c>
      <c r="O27" s="62">
        <f t="shared" si="15"/>
        <v>116.8</v>
      </c>
      <c r="P27" s="65">
        <f t="shared" si="3"/>
        <v>3.8933333333333334E-2</v>
      </c>
      <c r="Q27" s="19">
        <f t="shared" si="20"/>
        <v>56</v>
      </c>
      <c r="R27" s="20">
        <f t="shared" si="21"/>
        <v>0.23</v>
      </c>
      <c r="S27" s="23">
        <f t="shared" si="16"/>
        <v>73</v>
      </c>
      <c r="T27" s="87">
        <f t="shared" si="22"/>
        <v>0.3</v>
      </c>
      <c r="U27" s="111"/>
      <c r="V27" s="96">
        <f t="shared" si="4"/>
        <v>45.19</v>
      </c>
      <c r="W27" s="43">
        <f t="shared" si="17"/>
        <v>161.99</v>
      </c>
      <c r="X27" s="60">
        <f t="shared" si="18"/>
        <v>0.39</v>
      </c>
      <c r="Y27" s="90">
        <f t="shared" si="5"/>
        <v>0.02</v>
      </c>
      <c r="Z27" s="113"/>
      <c r="AA27" s="98">
        <f t="shared" si="6"/>
        <v>2838.01</v>
      </c>
      <c r="AB27" s="58">
        <f t="shared" si="7"/>
        <v>0.05</v>
      </c>
      <c r="AC27" s="54">
        <f t="shared" si="8"/>
        <v>1370.800476190476</v>
      </c>
      <c r="AD27" s="55">
        <f t="shared" si="19"/>
        <v>1614.800476190476</v>
      </c>
      <c r="AE27" s="47">
        <v>11</v>
      </c>
    </row>
    <row r="28" spans="1:33" ht="15" x14ac:dyDescent="0.25">
      <c r="A28" s="45">
        <v>12</v>
      </c>
      <c r="B28" s="15">
        <f t="shared" si="9"/>
        <v>1</v>
      </c>
      <c r="C28" s="82">
        <f t="shared" si="10"/>
        <v>18</v>
      </c>
      <c r="D28" s="104"/>
      <c r="E28" s="92">
        <f t="shared" si="0"/>
        <v>0</v>
      </c>
      <c r="F28" s="14">
        <f t="shared" si="23"/>
        <v>9</v>
      </c>
      <c r="G28" s="84">
        <f t="shared" si="11"/>
        <v>253</v>
      </c>
      <c r="H28" s="104"/>
      <c r="I28" s="94">
        <f t="shared" si="12"/>
        <v>1.5</v>
      </c>
      <c r="J28" s="17">
        <f t="shared" si="13"/>
        <v>0.03</v>
      </c>
      <c r="K28" s="85">
        <f t="shared" si="14"/>
        <v>0.24</v>
      </c>
      <c r="L28" s="108"/>
      <c r="M28" s="41">
        <f t="shared" si="1"/>
        <v>43.2</v>
      </c>
      <c r="N28" s="41">
        <f t="shared" si="2"/>
        <v>2.4</v>
      </c>
      <c r="O28" s="62">
        <f t="shared" si="15"/>
        <v>135.69999999999999</v>
      </c>
      <c r="P28" s="65">
        <f t="shared" si="3"/>
        <v>4.5233333333333327E-2</v>
      </c>
      <c r="Q28" s="19">
        <f t="shared" si="20"/>
        <v>57</v>
      </c>
      <c r="R28" s="20">
        <f t="shared" si="21"/>
        <v>0.23</v>
      </c>
      <c r="S28" s="23">
        <f t="shared" si="16"/>
        <v>75</v>
      </c>
      <c r="T28" s="87">
        <f t="shared" si="22"/>
        <v>0.3</v>
      </c>
      <c r="U28" s="111"/>
      <c r="V28" s="96">
        <f t="shared" si="4"/>
        <v>51.65</v>
      </c>
      <c r="W28" s="43">
        <f t="shared" si="17"/>
        <v>187.35</v>
      </c>
      <c r="X28" s="60">
        <f t="shared" si="18"/>
        <v>0.38</v>
      </c>
      <c r="Y28" s="90">
        <f t="shared" si="5"/>
        <v>0.02</v>
      </c>
      <c r="Z28" s="113"/>
      <c r="AA28" s="98">
        <f t="shared" si="6"/>
        <v>2812.65</v>
      </c>
      <c r="AB28" s="58">
        <f t="shared" si="7"/>
        <v>0.06</v>
      </c>
      <c r="AC28" s="54">
        <f t="shared" si="8"/>
        <v>1191.3062500000001</v>
      </c>
      <c r="AD28" s="55">
        <f t="shared" si="19"/>
        <v>1444.3062500000001</v>
      </c>
      <c r="AE28" s="47">
        <v>12</v>
      </c>
    </row>
    <row r="29" spans="1:33" ht="15" x14ac:dyDescent="0.25">
      <c r="A29" s="45">
        <v>13</v>
      </c>
      <c r="B29" s="15">
        <f t="shared" si="9"/>
        <v>0</v>
      </c>
      <c r="C29" s="82">
        <f t="shared" si="10"/>
        <v>18</v>
      </c>
      <c r="D29" s="104"/>
      <c r="E29" s="92">
        <f t="shared" si="0"/>
        <v>0</v>
      </c>
      <c r="F29" s="14">
        <f t="shared" si="23"/>
        <v>9</v>
      </c>
      <c r="G29" s="84">
        <f t="shared" si="11"/>
        <v>262</v>
      </c>
      <c r="H29" s="104"/>
      <c r="I29" s="94">
        <f t="shared" si="12"/>
        <v>1.6</v>
      </c>
      <c r="J29" s="17">
        <f t="shared" si="13"/>
        <v>3.2000000000000001E-2</v>
      </c>
      <c r="K29" s="85">
        <f t="shared" si="14"/>
        <v>0.27</v>
      </c>
      <c r="L29" s="108"/>
      <c r="M29" s="41">
        <f t="shared" si="1"/>
        <v>48.6</v>
      </c>
      <c r="N29" s="41">
        <f t="shared" si="2"/>
        <v>2.7</v>
      </c>
      <c r="O29" s="62">
        <f t="shared" si="15"/>
        <v>157.30000000000001</v>
      </c>
      <c r="P29" s="65">
        <f t="shared" si="3"/>
        <v>5.2433333333333339E-2</v>
      </c>
      <c r="Q29" s="19">
        <f t="shared" si="20"/>
        <v>58</v>
      </c>
      <c r="R29" s="20">
        <f t="shared" si="21"/>
        <v>0.22</v>
      </c>
      <c r="S29" s="23">
        <f t="shared" si="16"/>
        <v>76</v>
      </c>
      <c r="T29" s="87">
        <f t="shared" si="22"/>
        <v>0.28999999999999998</v>
      </c>
      <c r="U29" s="111"/>
      <c r="V29" s="96">
        <f t="shared" si="4"/>
        <v>58.1</v>
      </c>
      <c r="W29" s="43">
        <f t="shared" si="17"/>
        <v>215.4</v>
      </c>
      <c r="X29" s="60">
        <f t="shared" si="18"/>
        <v>0.37</v>
      </c>
      <c r="Y29" s="90">
        <f t="shared" si="5"/>
        <v>0.02</v>
      </c>
      <c r="Z29" s="113"/>
      <c r="AA29" s="98">
        <f t="shared" si="6"/>
        <v>2784.6</v>
      </c>
      <c r="AB29" s="58">
        <f t="shared" si="7"/>
        <v>7.0000000000000007E-2</v>
      </c>
      <c r="AC29" s="54">
        <f t="shared" si="8"/>
        <v>1050.6999999999998</v>
      </c>
      <c r="AD29" s="55">
        <f t="shared" si="19"/>
        <v>1312.6999999999998</v>
      </c>
      <c r="AE29" s="47">
        <v>13</v>
      </c>
    </row>
    <row r="30" spans="1:33" ht="15" x14ac:dyDescent="0.25">
      <c r="A30" s="45">
        <v>14</v>
      </c>
      <c r="B30" s="15">
        <f t="shared" si="9"/>
        <v>0</v>
      </c>
      <c r="C30" s="82">
        <f t="shared" si="10"/>
        <v>18</v>
      </c>
      <c r="D30" s="104"/>
      <c r="E30" s="92">
        <f t="shared" si="0"/>
        <v>0</v>
      </c>
      <c r="F30" s="14">
        <f t="shared" si="23"/>
        <v>9</v>
      </c>
      <c r="G30" s="84">
        <f t="shared" si="11"/>
        <v>271</v>
      </c>
      <c r="H30" s="104"/>
      <c r="I30" s="94">
        <f t="shared" si="12"/>
        <v>1.7</v>
      </c>
      <c r="J30" s="17">
        <f t="shared" si="13"/>
        <v>3.4000000000000002E-2</v>
      </c>
      <c r="K30" s="85">
        <f t="shared" si="14"/>
        <v>0.30000000000000004</v>
      </c>
      <c r="L30" s="108"/>
      <c r="M30" s="41">
        <f t="shared" si="1"/>
        <v>54</v>
      </c>
      <c r="N30" s="41">
        <f t="shared" si="2"/>
        <v>3</v>
      </c>
      <c r="O30" s="62">
        <f t="shared" si="15"/>
        <v>181.6</v>
      </c>
      <c r="P30" s="65">
        <f t="shared" si="3"/>
        <v>6.0533333333333335E-2</v>
      </c>
      <c r="Q30" s="19">
        <f t="shared" si="20"/>
        <v>61</v>
      </c>
      <c r="R30" s="20">
        <f t="shared" si="21"/>
        <v>0.23</v>
      </c>
      <c r="S30" s="23">
        <f t="shared" si="16"/>
        <v>79</v>
      </c>
      <c r="T30" s="87">
        <f t="shared" si="22"/>
        <v>0.28999999999999998</v>
      </c>
      <c r="U30" s="111"/>
      <c r="V30" s="96">
        <f t="shared" si="4"/>
        <v>64.56</v>
      </c>
      <c r="W30" s="43">
        <f t="shared" si="17"/>
        <v>246.16</v>
      </c>
      <c r="X30" s="60">
        <f t="shared" si="18"/>
        <v>0.36</v>
      </c>
      <c r="Y30" s="90">
        <f t="shared" si="5"/>
        <v>0.02</v>
      </c>
      <c r="Z30" s="113"/>
      <c r="AA30" s="98">
        <f t="shared" si="6"/>
        <v>2753.84</v>
      </c>
      <c r="AB30" s="58">
        <f t="shared" si="7"/>
        <v>0.08</v>
      </c>
      <c r="AC30" s="54">
        <f t="shared" si="8"/>
        <v>937.31466666666665</v>
      </c>
      <c r="AD30" s="55">
        <f t="shared" si="19"/>
        <v>1208.3146666666667</v>
      </c>
      <c r="AE30" s="47">
        <v>14</v>
      </c>
    </row>
    <row r="31" spans="1:33" ht="15" x14ac:dyDescent="0.25">
      <c r="A31" s="45">
        <v>15</v>
      </c>
      <c r="B31" s="16">
        <f t="shared" si="9"/>
        <v>0</v>
      </c>
      <c r="C31" s="83">
        <f t="shared" si="10"/>
        <v>18</v>
      </c>
      <c r="D31" s="104"/>
      <c r="E31" s="93">
        <f t="shared" si="0"/>
        <v>0</v>
      </c>
      <c r="F31" s="11">
        <f t="shared" si="23"/>
        <v>9</v>
      </c>
      <c r="G31" s="83">
        <f t="shared" si="11"/>
        <v>280</v>
      </c>
      <c r="H31" s="104"/>
      <c r="I31" s="95">
        <f t="shared" si="12"/>
        <v>1.8</v>
      </c>
      <c r="J31" s="2">
        <f t="shared" si="13"/>
        <v>3.5999999999999997E-2</v>
      </c>
      <c r="K31" s="86">
        <f t="shared" si="14"/>
        <v>0.34</v>
      </c>
      <c r="L31" s="108"/>
      <c r="M31" s="42">
        <f t="shared" si="1"/>
        <v>61.2</v>
      </c>
      <c r="N31" s="42">
        <f t="shared" si="2"/>
        <v>3.4</v>
      </c>
      <c r="O31" s="63">
        <f t="shared" si="15"/>
        <v>208.6</v>
      </c>
      <c r="P31" s="64">
        <f t="shared" si="3"/>
        <v>6.9533333333333336E-2</v>
      </c>
      <c r="Q31" s="21">
        <f t="shared" si="20"/>
        <v>61</v>
      </c>
      <c r="R31" s="22">
        <f t="shared" si="21"/>
        <v>0.22</v>
      </c>
      <c r="S31" s="24">
        <f t="shared" si="16"/>
        <v>79</v>
      </c>
      <c r="T31" s="89">
        <f t="shared" si="22"/>
        <v>0.28000000000000003</v>
      </c>
      <c r="U31" s="111"/>
      <c r="V31" s="97">
        <f t="shared" si="4"/>
        <v>73.17</v>
      </c>
      <c r="W31" s="44">
        <f t="shared" si="17"/>
        <v>281.77</v>
      </c>
      <c r="X31" s="61">
        <f t="shared" si="18"/>
        <v>0.35</v>
      </c>
      <c r="Y31" s="91">
        <f t="shared" si="5"/>
        <v>0.02</v>
      </c>
      <c r="Z31" s="113"/>
      <c r="AA31" s="99">
        <f t="shared" si="6"/>
        <v>2718.23</v>
      </c>
      <c r="AB31" s="59">
        <f t="shared" si="7"/>
        <v>0.09</v>
      </c>
      <c r="AC31" s="56">
        <f t="shared" si="8"/>
        <v>818.84794117647061</v>
      </c>
      <c r="AD31" s="57">
        <f t="shared" si="19"/>
        <v>1098.8479411764706</v>
      </c>
      <c r="AE31" s="47">
        <v>15</v>
      </c>
    </row>
    <row r="32" spans="1:33" ht="15" x14ac:dyDescent="0.25">
      <c r="A32" s="45">
        <v>16</v>
      </c>
      <c r="B32" s="15">
        <f t="shared" si="9"/>
        <v>0</v>
      </c>
      <c r="C32" s="82">
        <f t="shared" si="10"/>
        <v>18</v>
      </c>
      <c r="D32" s="104"/>
      <c r="E32" s="92">
        <f t="shared" si="0"/>
        <v>0</v>
      </c>
      <c r="F32" s="14">
        <f t="shared" si="23"/>
        <v>9</v>
      </c>
      <c r="G32" s="84">
        <f t="shared" si="11"/>
        <v>289</v>
      </c>
      <c r="H32" s="104"/>
      <c r="I32" s="94">
        <f t="shared" si="12"/>
        <v>1.9</v>
      </c>
      <c r="J32" s="17">
        <f t="shared" si="13"/>
        <v>3.7999999999999999E-2</v>
      </c>
      <c r="K32" s="85">
        <f t="shared" si="14"/>
        <v>0.38</v>
      </c>
      <c r="L32" s="108"/>
      <c r="M32" s="41">
        <f t="shared" si="1"/>
        <v>68.400000000000006</v>
      </c>
      <c r="N32" s="41">
        <f t="shared" si="2"/>
        <v>3.8</v>
      </c>
      <c r="O32" s="62">
        <f t="shared" si="15"/>
        <v>239.2</v>
      </c>
      <c r="P32" s="65">
        <f t="shared" si="3"/>
        <v>7.9733333333333323E-2</v>
      </c>
      <c r="Q32" s="19">
        <f t="shared" si="20"/>
        <v>63</v>
      </c>
      <c r="R32" s="20">
        <f t="shared" si="21"/>
        <v>0.22</v>
      </c>
      <c r="S32" s="23">
        <f t="shared" si="16"/>
        <v>81</v>
      </c>
      <c r="T32" s="87">
        <f t="shared" si="22"/>
        <v>0.28000000000000003</v>
      </c>
      <c r="U32" s="111"/>
      <c r="V32" s="96">
        <f t="shared" si="4"/>
        <v>81.78</v>
      </c>
      <c r="W32" s="43">
        <f t="shared" si="17"/>
        <v>320.98</v>
      </c>
      <c r="X32" s="60">
        <f t="shared" si="18"/>
        <v>0.34</v>
      </c>
      <c r="Y32" s="90">
        <f t="shared" si="5"/>
        <v>0.03</v>
      </c>
      <c r="Z32" s="113"/>
      <c r="AA32" s="98">
        <f t="shared" si="6"/>
        <v>2679.02</v>
      </c>
      <c r="AB32" s="58">
        <f t="shared" si="7"/>
        <v>0.11</v>
      </c>
      <c r="AC32" s="54">
        <f t="shared" si="8"/>
        <v>724.37421052631589</v>
      </c>
      <c r="AD32" s="55">
        <f t="shared" si="19"/>
        <v>1013.3742105263159</v>
      </c>
      <c r="AE32" s="47">
        <v>16</v>
      </c>
    </row>
    <row r="33" spans="1:31" ht="15" x14ac:dyDescent="0.25">
      <c r="A33" s="45">
        <v>17</v>
      </c>
      <c r="B33" s="15">
        <f t="shared" si="9"/>
        <v>0</v>
      </c>
      <c r="C33" s="82">
        <f t="shared" si="10"/>
        <v>18</v>
      </c>
      <c r="D33" s="104"/>
      <c r="E33" s="92">
        <f t="shared" si="0"/>
        <v>0</v>
      </c>
      <c r="F33" s="14">
        <f t="shared" si="23"/>
        <v>9</v>
      </c>
      <c r="G33" s="84">
        <f t="shared" si="11"/>
        <v>298</v>
      </c>
      <c r="H33" s="104"/>
      <c r="I33" s="94">
        <f t="shared" si="12"/>
        <v>2</v>
      </c>
      <c r="J33" s="17">
        <f t="shared" si="13"/>
        <v>0.04</v>
      </c>
      <c r="K33" s="85">
        <f t="shared" si="14"/>
        <v>0.42</v>
      </c>
      <c r="L33" s="108"/>
      <c r="M33" s="41">
        <f t="shared" si="1"/>
        <v>75.599999999999994</v>
      </c>
      <c r="N33" s="41">
        <f t="shared" si="2"/>
        <v>4.2</v>
      </c>
      <c r="O33" s="62">
        <f t="shared" si="15"/>
        <v>273.39999999999998</v>
      </c>
      <c r="P33" s="65">
        <f t="shared" si="3"/>
        <v>9.113333333333333E-2</v>
      </c>
      <c r="Q33" s="19">
        <f t="shared" si="20"/>
        <v>65</v>
      </c>
      <c r="R33" s="20">
        <f t="shared" si="21"/>
        <v>0.22</v>
      </c>
      <c r="S33" s="23">
        <f t="shared" si="16"/>
        <v>83</v>
      </c>
      <c r="T33" s="87">
        <f t="shared" si="22"/>
        <v>0.28000000000000003</v>
      </c>
      <c r="U33" s="111"/>
      <c r="V33" s="96">
        <f t="shared" si="4"/>
        <v>90.38</v>
      </c>
      <c r="W33" s="43">
        <f t="shared" si="17"/>
        <v>363.78</v>
      </c>
      <c r="X33" s="60">
        <f t="shared" si="18"/>
        <v>0.33</v>
      </c>
      <c r="Y33" s="90">
        <f t="shared" si="5"/>
        <v>0.03</v>
      </c>
      <c r="Z33" s="113"/>
      <c r="AA33" s="98">
        <f t="shared" si="6"/>
        <v>2636.22</v>
      </c>
      <c r="AB33" s="58">
        <f t="shared" si="7"/>
        <v>0.12</v>
      </c>
      <c r="AC33" s="54">
        <f t="shared" si="8"/>
        <v>647.03857142857134</v>
      </c>
      <c r="AD33" s="55">
        <f t="shared" si="19"/>
        <v>945.03857142857134</v>
      </c>
      <c r="AE33" s="47">
        <v>17</v>
      </c>
    </row>
    <row r="34" spans="1:31" ht="15" x14ac:dyDescent="0.25">
      <c r="A34" s="45">
        <v>18</v>
      </c>
      <c r="B34" s="15">
        <f t="shared" si="9"/>
        <v>0</v>
      </c>
      <c r="C34" s="82">
        <f t="shared" si="10"/>
        <v>18</v>
      </c>
      <c r="D34" s="104"/>
      <c r="E34" s="92">
        <f t="shared" si="0"/>
        <v>0</v>
      </c>
      <c r="F34" s="14">
        <f t="shared" si="23"/>
        <v>9</v>
      </c>
      <c r="G34" s="84">
        <f t="shared" si="11"/>
        <v>307</v>
      </c>
      <c r="H34" s="104"/>
      <c r="I34" s="94">
        <f t="shared" si="12"/>
        <v>2.1</v>
      </c>
      <c r="J34" s="17">
        <f t="shared" si="13"/>
        <v>4.2000000000000003E-2</v>
      </c>
      <c r="K34" s="85">
        <f t="shared" si="14"/>
        <v>0.45999999999999996</v>
      </c>
      <c r="L34" s="108"/>
      <c r="M34" s="41">
        <f t="shared" si="1"/>
        <v>82.8</v>
      </c>
      <c r="N34" s="41">
        <f t="shared" si="2"/>
        <v>4.5999999999999996</v>
      </c>
      <c r="O34" s="62">
        <f t="shared" si="15"/>
        <v>311.2</v>
      </c>
      <c r="P34" s="65">
        <f t="shared" si="3"/>
        <v>0.10373333333333333</v>
      </c>
      <c r="Q34" s="19">
        <f t="shared" si="20"/>
        <v>68</v>
      </c>
      <c r="R34" s="20">
        <f t="shared" si="21"/>
        <v>0.22</v>
      </c>
      <c r="S34" s="23">
        <f t="shared" si="16"/>
        <v>86</v>
      </c>
      <c r="T34" s="87">
        <f t="shared" si="22"/>
        <v>0.28000000000000003</v>
      </c>
      <c r="U34" s="111"/>
      <c r="V34" s="96">
        <f t="shared" si="4"/>
        <v>98.99</v>
      </c>
      <c r="W34" s="43">
        <f t="shared" si="17"/>
        <v>410.19</v>
      </c>
      <c r="X34" s="60">
        <f t="shared" si="18"/>
        <v>0.32</v>
      </c>
      <c r="Y34" s="90">
        <f t="shared" si="5"/>
        <v>0.03</v>
      </c>
      <c r="Z34" s="113"/>
      <c r="AA34" s="98">
        <f t="shared" si="6"/>
        <v>2589.81</v>
      </c>
      <c r="AB34" s="58">
        <f t="shared" si="7"/>
        <v>0.14000000000000001</v>
      </c>
      <c r="AC34" s="54">
        <f t="shared" si="8"/>
        <v>582.3697826086958</v>
      </c>
      <c r="AD34" s="55">
        <f t="shared" si="19"/>
        <v>889.3697826086958</v>
      </c>
      <c r="AE34" s="47">
        <v>18</v>
      </c>
    </row>
    <row r="35" spans="1:31" ht="15" x14ac:dyDescent="0.25">
      <c r="A35" s="45">
        <v>19</v>
      </c>
      <c r="B35" s="15">
        <f t="shared" si="9"/>
        <v>0</v>
      </c>
      <c r="C35" s="82">
        <f t="shared" si="10"/>
        <v>18</v>
      </c>
      <c r="D35" s="104"/>
      <c r="E35" s="92">
        <f t="shared" si="0"/>
        <v>0</v>
      </c>
      <c r="F35" s="14">
        <f t="shared" si="23"/>
        <v>9</v>
      </c>
      <c r="G35" s="84">
        <f t="shared" si="11"/>
        <v>316</v>
      </c>
      <c r="H35" s="104"/>
      <c r="I35" s="94">
        <f t="shared" si="12"/>
        <v>2.2000000000000002</v>
      </c>
      <c r="J35" s="17">
        <f t="shared" si="13"/>
        <v>4.3999999999999997E-2</v>
      </c>
      <c r="K35" s="85">
        <f t="shared" si="14"/>
        <v>0.49999999999999994</v>
      </c>
      <c r="L35" s="108"/>
      <c r="M35" s="41">
        <f t="shared" si="1"/>
        <v>90</v>
      </c>
      <c r="N35" s="41">
        <f t="shared" si="2"/>
        <v>5</v>
      </c>
      <c r="O35" s="62">
        <f t="shared" si="15"/>
        <v>352.6</v>
      </c>
      <c r="P35" s="65">
        <f t="shared" si="3"/>
        <v>0.11753333333333334</v>
      </c>
      <c r="Q35" s="19">
        <f t="shared" si="20"/>
        <v>71</v>
      </c>
      <c r="R35" s="20">
        <f t="shared" si="21"/>
        <v>0.22</v>
      </c>
      <c r="S35" s="23">
        <f t="shared" si="16"/>
        <v>89</v>
      </c>
      <c r="T35" s="87">
        <f t="shared" si="22"/>
        <v>0.28000000000000003</v>
      </c>
      <c r="U35" s="111"/>
      <c r="V35" s="96">
        <f t="shared" si="4"/>
        <v>107.6</v>
      </c>
      <c r="W35" s="43">
        <f t="shared" si="17"/>
        <v>460.2</v>
      </c>
      <c r="X35" s="60">
        <f t="shared" si="18"/>
        <v>0.31</v>
      </c>
      <c r="Y35" s="90">
        <f t="shared" si="5"/>
        <v>0.04</v>
      </c>
      <c r="Z35" s="113"/>
      <c r="AA35" s="98">
        <f t="shared" si="6"/>
        <v>2539.8000000000002</v>
      </c>
      <c r="AB35" s="58">
        <f t="shared" si="7"/>
        <v>0.15</v>
      </c>
      <c r="AC35" s="54">
        <f t="shared" si="8"/>
        <v>527.32799999999997</v>
      </c>
      <c r="AD35" s="55">
        <f t="shared" si="19"/>
        <v>843.32799999999997</v>
      </c>
      <c r="AE35" s="47">
        <v>19</v>
      </c>
    </row>
    <row r="36" spans="1:31" ht="15" customHeight="1" x14ac:dyDescent="0.25">
      <c r="A36" s="45">
        <v>20</v>
      </c>
      <c r="B36" s="115">
        <f t="shared" si="9"/>
        <v>0</v>
      </c>
      <c r="C36" s="116">
        <f t="shared" si="10"/>
        <v>18</v>
      </c>
      <c r="D36" s="104"/>
      <c r="E36" s="117">
        <f t="shared" si="0"/>
        <v>0</v>
      </c>
      <c r="F36" s="118">
        <f t="shared" si="23"/>
        <v>9</v>
      </c>
      <c r="G36" s="116">
        <f t="shared" si="11"/>
        <v>325</v>
      </c>
      <c r="H36" s="104"/>
      <c r="I36" s="119">
        <f t="shared" si="12"/>
        <v>2.2999999999999998</v>
      </c>
      <c r="J36" s="120">
        <f t="shared" si="13"/>
        <v>4.5999999999999999E-2</v>
      </c>
      <c r="K36" s="121">
        <f t="shared" si="14"/>
        <v>0.54999999999999993</v>
      </c>
      <c r="L36" s="108"/>
      <c r="M36" s="122">
        <f t="shared" si="1"/>
        <v>99</v>
      </c>
      <c r="N36" s="122">
        <f t="shared" si="2"/>
        <v>5.5</v>
      </c>
      <c r="O36" s="123">
        <f t="shared" si="15"/>
        <v>397.6</v>
      </c>
      <c r="P36" s="124">
        <f t="shared" si="3"/>
        <v>0.13253333333333334</v>
      </c>
      <c r="Q36" s="125">
        <f t="shared" si="20"/>
        <v>72</v>
      </c>
      <c r="R36" s="126">
        <f t="shared" si="21"/>
        <v>0.22</v>
      </c>
      <c r="S36" s="127">
        <f t="shared" si="16"/>
        <v>90</v>
      </c>
      <c r="T36" s="128">
        <f t="shared" si="22"/>
        <v>0.28000000000000003</v>
      </c>
      <c r="U36" s="111"/>
      <c r="V36" s="129">
        <f t="shared" si="4"/>
        <v>118.36</v>
      </c>
      <c r="W36" s="130">
        <f t="shared" si="17"/>
        <v>515.96</v>
      </c>
      <c r="X36" s="131">
        <f t="shared" si="18"/>
        <v>0.3</v>
      </c>
      <c r="Y36" s="132">
        <f t="shared" si="5"/>
        <v>0.04</v>
      </c>
      <c r="Z36" s="113"/>
      <c r="AA36" s="133">
        <f t="shared" si="6"/>
        <v>2484.04</v>
      </c>
      <c r="AB36" s="134">
        <f t="shared" si="7"/>
        <v>0.17</v>
      </c>
      <c r="AC36" s="135">
        <f t="shared" si="8"/>
        <v>471.0116363636364</v>
      </c>
      <c r="AD36" s="136">
        <f t="shared" si="19"/>
        <v>796.0116363636364</v>
      </c>
      <c r="AE36" s="47">
        <v>20</v>
      </c>
    </row>
    <row r="37" spans="1:31" ht="15" customHeight="1" x14ac:dyDescent="0.25">
      <c r="A37" s="45">
        <v>21</v>
      </c>
      <c r="B37" s="15">
        <f t="shared" si="9"/>
        <v>0</v>
      </c>
      <c r="C37" s="82">
        <f t="shared" si="10"/>
        <v>18</v>
      </c>
      <c r="D37" s="104"/>
      <c r="E37" s="92">
        <f t="shared" si="0"/>
        <v>0</v>
      </c>
      <c r="F37" s="14">
        <f t="shared" ref="F37:F100" si="24">F36+E37</f>
        <v>9</v>
      </c>
      <c r="G37" s="84">
        <f t="shared" ref="G37:G100" si="25">G36+F37</f>
        <v>334</v>
      </c>
      <c r="H37" s="104"/>
      <c r="I37" s="94">
        <f t="shared" si="12"/>
        <v>2.4</v>
      </c>
      <c r="J37" s="17">
        <f t="shared" si="13"/>
        <v>4.8000000000000001E-2</v>
      </c>
      <c r="K37" s="85">
        <f t="shared" ref="K37:K100" si="26">K36+ROUND(J37,2)</f>
        <v>0.6</v>
      </c>
      <c r="L37" s="108"/>
      <c r="M37" s="41">
        <f t="shared" si="1"/>
        <v>108</v>
      </c>
      <c r="N37" s="41">
        <f t="shared" si="2"/>
        <v>6</v>
      </c>
      <c r="O37" s="62">
        <f t="shared" si="15"/>
        <v>447.1</v>
      </c>
      <c r="P37" s="65">
        <f t="shared" si="3"/>
        <v>0.14903333333333335</v>
      </c>
      <c r="Q37" s="19">
        <f t="shared" si="20"/>
        <v>75</v>
      </c>
      <c r="R37" s="20">
        <f t="shared" si="21"/>
        <v>0.22</v>
      </c>
      <c r="S37" s="23">
        <f t="shared" si="16"/>
        <v>93</v>
      </c>
      <c r="T37" s="87">
        <f t="shared" si="22"/>
        <v>0.28000000000000003</v>
      </c>
      <c r="U37" s="111"/>
      <c r="V37" s="96">
        <f t="shared" si="4"/>
        <v>129.12</v>
      </c>
      <c r="W37" s="43">
        <f t="shared" ref="W37:W100" si="27">ROUND(O37+V37,2)</f>
        <v>576.22</v>
      </c>
      <c r="X37" s="60">
        <f t="shared" ref="X37:X100" si="28">IF(O37&gt;0,ROUND(V37/O37,2),0)</f>
        <v>0.28999999999999998</v>
      </c>
      <c r="Y37" s="90">
        <f t="shared" si="5"/>
        <v>0.04</v>
      </c>
      <c r="Z37" s="113"/>
      <c r="AA37" s="98">
        <f t="shared" si="6"/>
        <v>2423.7800000000002</v>
      </c>
      <c r="AB37" s="58">
        <f t="shared" si="7"/>
        <v>0.19</v>
      </c>
      <c r="AC37" s="54">
        <f t="shared" si="8"/>
        <v>423.33133333333336</v>
      </c>
      <c r="AD37" s="55">
        <f t="shared" ref="AD37:AD100" si="29">IF(AC37&gt;0,AC37+G37,0)</f>
        <v>757.3313333333333</v>
      </c>
      <c r="AE37" s="47">
        <v>21</v>
      </c>
    </row>
    <row r="38" spans="1:31" ht="15" x14ac:dyDescent="0.25">
      <c r="A38" s="45">
        <v>22</v>
      </c>
      <c r="B38" s="15">
        <f t="shared" si="9"/>
        <v>0</v>
      </c>
      <c r="C38" s="82">
        <f t="shared" si="10"/>
        <v>18</v>
      </c>
      <c r="D38" s="104"/>
      <c r="E38" s="92">
        <f t="shared" si="0"/>
        <v>0</v>
      </c>
      <c r="F38" s="14">
        <f t="shared" si="24"/>
        <v>9</v>
      </c>
      <c r="G38" s="84">
        <f t="shared" si="25"/>
        <v>343</v>
      </c>
      <c r="H38" s="104"/>
      <c r="I38" s="94">
        <f t="shared" si="12"/>
        <v>2.5</v>
      </c>
      <c r="J38" s="17">
        <f t="shared" si="13"/>
        <v>0.05</v>
      </c>
      <c r="K38" s="85">
        <f t="shared" si="26"/>
        <v>0.65</v>
      </c>
      <c r="L38" s="108"/>
      <c r="M38" s="41">
        <f t="shared" si="1"/>
        <v>117</v>
      </c>
      <c r="N38" s="41">
        <f t="shared" si="2"/>
        <v>6.5</v>
      </c>
      <c r="O38" s="62">
        <f t="shared" si="15"/>
        <v>501.1</v>
      </c>
      <c r="P38" s="65">
        <f t="shared" si="3"/>
        <v>0.16703333333333334</v>
      </c>
      <c r="Q38" s="19">
        <f t="shared" si="20"/>
        <v>77</v>
      </c>
      <c r="R38" s="20">
        <f t="shared" si="21"/>
        <v>0.22</v>
      </c>
      <c r="S38" s="23">
        <f t="shared" si="16"/>
        <v>95</v>
      </c>
      <c r="T38" s="87">
        <f t="shared" si="22"/>
        <v>0.28000000000000003</v>
      </c>
      <c r="U38" s="111"/>
      <c r="V38" s="96">
        <f t="shared" si="4"/>
        <v>139.88</v>
      </c>
      <c r="W38" s="43">
        <f t="shared" si="27"/>
        <v>640.98</v>
      </c>
      <c r="X38" s="60">
        <f t="shared" si="28"/>
        <v>0.28000000000000003</v>
      </c>
      <c r="Y38" s="90">
        <f t="shared" si="5"/>
        <v>0.05</v>
      </c>
      <c r="Z38" s="113"/>
      <c r="AA38" s="98">
        <f t="shared" si="6"/>
        <v>2359.02</v>
      </c>
      <c r="AB38" s="58">
        <f t="shared" si="7"/>
        <v>0.21</v>
      </c>
      <c r="AC38" s="54">
        <f t="shared" si="8"/>
        <v>382.2941538461539</v>
      </c>
      <c r="AD38" s="55">
        <f t="shared" si="29"/>
        <v>725.2941538461539</v>
      </c>
      <c r="AE38" s="47">
        <v>22</v>
      </c>
    </row>
    <row r="39" spans="1:31" ht="15" x14ac:dyDescent="0.25">
      <c r="A39" s="45">
        <v>23</v>
      </c>
      <c r="B39" s="15">
        <f t="shared" si="9"/>
        <v>0</v>
      </c>
      <c r="C39" s="82">
        <f t="shared" si="10"/>
        <v>18</v>
      </c>
      <c r="D39" s="104"/>
      <c r="E39" s="92">
        <f t="shared" si="0"/>
        <v>0</v>
      </c>
      <c r="F39" s="14">
        <f t="shared" si="24"/>
        <v>9</v>
      </c>
      <c r="G39" s="84">
        <f t="shared" si="25"/>
        <v>352</v>
      </c>
      <c r="H39" s="104"/>
      <c r="I39" s="94">
        <f t="shared" si="12"/>
        <v>2.6</v>
      </c>
      <c r="J39" s="17">
        <f t="shared" si="13"/>
        <v>5.1999999999999998E-2</v>
      </c>
      <c r="K39" s="85">
        <f t="shared" si="26"/>
        <v>0.70000000000000007</v>
      </c>
      <c r="L39" s="108"/>
      <c r="M39" s="41">
        <f t="shared" si="1"/>
        <v>126</v>
      </c>
      <c r="N39" s="41">
        <f t="shared" si="2"/>
        <v>7</v>
      </c>
      <c r="O39" s="62">
        <f t="shared" si="15"/>
        <v>559.6</v>
      </c>
      <c r="P39" s="65">
        <f t="shared" si="3"/>
        <v>0.18653333333333333</v>
      </c>
      <c r="Q39" s="19">
        <f t="shared" si="20"/>
        <v>80</v>
      </c>
      <c r="R39" s="20">
        <f t="shared" si="21"/>
        <v>0.23</v>
      </c>
      <c r="S39" s="23">
        <f t="shared" si="16"/>
        <v>98</v>
      </c>
      <c r="T39" s="87">
        <f t="shared" si="22"/>
        <v>0.28000000000000003</v>
      </c>
      <c r="U39" s="111"/>
      <c r="V39" s="96">
        <f t="shared" si="4"/>
        <v>150.63999999999999</v>
      </c>
      <c r="W39" s="43">
        <f t="shared" si="27"/>
        <v>710.24</v>
      </c>
      <c r="X39" s="60">
        <f t="shared" si="28"/>
        <v>0.27</v>
      </c>
      <c r="Y39" s="90">
        <f t="shared" si="5"/>
        <v>0.05</v>
      </c>
      <c r="Z39" s="113"/>
      <c r="AA39" s="98">
        <f t="shared" si="6"/>
        <v>2289.7600000000002</v>
      </c>
      <c r="AB39" s="58">
        <f t="shared" si="7"/>
        <v>0.24</v>
      </c>
      <c r="AC39" s="54">
        <f t="shared" si="8"/>
        <v>346.47657142857145</v>
      </c>
      <c r="AD39" s="55">
        <f t="shared" si="29"/>
        <v>698.47657142857145</v>
      </c>
      <c r="AE39" s="47">
        <v>23</v>
      </c>
    </row>
    <row r="40" spans="1:31" ht="15" x14ac:dyDescent="0.25">
      <c r="A40" s="45">
        <v>24</v>
      </c>
      <c r="B40" s="15">
        <f t="shared" si="9"/>
        <v>0</v>
      </c>
      <c r="C40" s="82">
        <f t="shared" si="10"/>
        <v>18</v>
      </c>
      <c r="D40" s="104"/>
      <c r="E40" s="92">
        <f t="shared" si="0"/>
        <v>0</v>
      </c>
      <c r="F40" s="14">
        <f t="shared" si="24"/>
        <v>9</v>
      </c>
      <c r="G40" s="84">
        <f t="shared" si="25"/>
        <v>361</v>
      </c>
      <c r="H40" s="104"/>
      <c r="I40" s="94">
        <f t="shared" si="12"/>
        <v>2.7</v>
      </c>
      <c r="J40" s="17">
        <f t="shared" si="13"/>
        <v>5.3999999999999999E-2</v>
      </c>
      <c r="K40" s="85">
        <f t="shared" si="26"/>
        <v>0.75000000000000011</v>
      </c>
      <c r="L40" s="108"/>
      <c r="M40" s="41">
        <f t="shared" si="1"/>
        <v>135</v>
      </c>
      <c r="N40" s="41">
        <f t="shared" si="2"/>
        <v>7.5</v>
      </c>
      <c r="O40" s="62">
        <f t="shared" si="15"/>
        <v>622.6</v>
      </c>
      <c r="P40" s="65">
        <f t="shared" si="3"/>
        <v>0.20753333333333335</v>
      </c>
      <c r="Q40" s="19">
        <f t="shared" si="20"/>
        <v>83</v>
      </c>
      <c r="R40" s="20">
        <f t="shared" si="21"/>
        <v>0.23</v>
      </c>
      <c r="S40" s="23">
        <f t="shared" si="16"/>
        <v>101</v>
      </c>
      <c r="T40" s="87">
        <f t="shared" si="22"/>
        <v>0.28000000000000003</v>
      </c>
      <c r="U40" s="111"/>
      <c r="V40" s="96">
        <f t="shared" si="4"/>
        <v>161.4</v>
      </c>
      <c r="W40" s="43">
        <f t="shared" si="27"/>
        <v>784</v>
      </c>
      <c r="X40" s="60">
        <f t="shared" si="28"/>
        <v>0.26</v>
      </c>
      <c r="Y40" s="90">
        <f t="shared" si="5"/>
        <v>0.05</v>
      </c>
      <c r="Z40" s="113"/>
      <c r="AA40" s="98">
        <f t="shared" si="6"/>
        <v>2216</v>
      </c>
      <c r="AB40" s="58">
        <f t="shared" si="7"/>
        <v>0.26</v>
      </c>
      <c r="AC40" s="54">
        <f t="shared" si="8"/>
        <v>314.83466666666669</v>
      </c>
      <c r="AD40" s="55">
        <f t="shared" si="29"/>
        <v>675.83466666666664</v>
      </c>
      <c r="AE40" s="47">
        <v>24</v>
      </c>
    </row>
    <row r="41" spans="1:31" ht="15" x14ac:dyDescent="0.25">
      <c r="A41" s="45">
        <v>25</v>
      </c>
      <c r="B41" s="115">
        <f t="shared" si="9"/>
        <v>0</v>
      </c>
      <c r="C41" s="116">
        <f t="shared" si="10"/>
        <v>18</v>
      </c>
      <c r="D41" s="104"/>
      <c r="E41" s="117">
        <f t="shared" si="0"/>
        <v>0</v>
      </c>
      <c r="F41" s="118">
        <f t="shared" si="24"/>
        <v>9</v>
      </c>
      <c r="G41" s="116">
        <f t="shared" si="25"/>
        <v>370</v>
      </c>
      <c r="H41" s="104"/>
      <c r="I41" s="119">
        <f t="shared" si="12"/>
        <v>2.8</v>
      </c>
      <c r="J41" s="120">
        <f t="shared" si="13"/>
        <v>5.6000000000000001E-2</v>
      </c>
      <c r="K41" s="121">
        <f t="shared" si="26"/>
        <v>0.81</v>
      </c>
      <c r="L41" s="108"/>
      <c r="M41" s="122">
        <f t="shared" si="1"/>
        <v>145.80000000000001</v>
      </c>
      <c r="N41" s="122">
        <f t="shared" si="2"/>
        <v>8.1</v>
      </c>
      <c r="O41" s="123">
        <f t="shared" si="15"/>
        <v>690.1</v>
      </c>
      <c r="P41" s="124">
        <f t="shared" si="3"/>
        <v>0.23003333333333334</v>
      </c>
      <c r="Q41" s="125">
        <f t="shared" si="20"/>
        <v>85</v>
      </c>
      <c r="R41" s="126">
        <f t="shared" si="21"/>
        <v>0.23</v>
      </c>
      <c r="S41" s="127">
        <f t="shared" si="16"/>
        <v>103</v>
      </c>
      <c r="T41" s="128">
        <f t="shared" si="22"/>
        <v>0.28000000000000003</v>
      </c>
      <c r="U41" s="111"/>
      <c r="V41" s="129">
        <f t="shared" si="4"/>
        <v>174.31</v>
      </c>
      <c r="W41" s="130">
        <f t="shared" si="27"/>
        <v>864.41</v>
      </c>
      <c r="X41" s="131">
        <f t="shared" si="28"/>
        <v>0.25</v>
      </c>
      <c r="Y41" s="132">
        <f t="shared" si="5"/>
        <v>0.06</v>
      </c>
      <c r="Z41" s="113"/>
      <c r="AA41" s="133">
        <f t="shared" si="6"/>
        <v>2135.59</v>
      </c>
      <c r="AB41" s="134">
        <f t="shared" si="7"/>
        <v>0.28999999999999998</v>
      </c>
      <c r="AC41" s="135">
        <f t="shared" si="8"/>
        <v>283.0208641975309</v>
      </c>
      <c r="AD41" s="136">
        <f t="shared" si="29"/>
        <v>653.02086419753095</v>
      </c>
      <c r="AE41" s="47">
        <v>25</v>
      </c>
    </row>
    <row r="42" spans="1:31" ht="15" x14ac:dyDescent="0.25">
      <c r="A42" s="45">
        <v>26</v>
      </c>
      <c r="B42" s="15">
        <f t="shared" si="9"/>
        <v>0</v>
      </c>
      <c r="C42" s="82">
        <f t="shared" si="10"/>
        <v>18</v>
      </c>
      <c r="D42" s="104"/>
      <c r="E42" s="92">
        <f t="shared" si="0"/>
        <v>0</v>
      </c>
      <c r="F42" s="14">
        <f t="shared" si="24"/>
        <v>9</v>
      </c>
      <c r="G42" s="84">
        <f t="shared" si="25"/>
        <v>379</v>
      </c>
      <c r="H42" s="104"/>
      <c r="I42" s="94">
        <f t="shared" si="12"/>
        <v>2.9</v>
      </c>
      <c r="J42" s="17">
        <f t="shared" si="13"/>
        <v>5.8000000000000003E-2</v>
      </c>
      <c r="K42" s="85">
        <f t="shared" si="26"/>
        <v>0.87000000000000011</v>
      </c>
      <c r="L42" s="108"/>
      <c r="M42" s="41">
        <f t="shared" si="1"/>
        <v>156.6</v>
      </c>
      <c r="N42" s="41">
        <f t="shared" si="2"/>
        <v>8.6999999999999993</v>
      </c>
      <c r="O42" s="62">
        <f t="shared" si="15"/>
        <v>763</v>
      </c>
      <c r="P42" s="65">
        <f t="shared" si="3"/>
        <v>0.25433333333333336</v>
      </c>
      <c r="Q42" s="19">
        <f t="shared" si="20"/>
        <v>88</v>
      </c>
      <c r="R42" s="20">
        <f t="shared" si="21"/>
        <v>0.23</v>
      </c>
      <c r="S42" s="23">
        <f t="shared" si="16"/>
        <v>106</v>
      </c>
      <c r="T42" s="87">
        <f t="shared" si="22"/>
        <v>0.28000000000000003</v>
      </c>
      <c r="U42" s="111"/>
      <c r="V42" s="96">
        <f t="shared" si="4"/>
        <v>187.22</v>
      </c>
      <c r="W42" s="43">
        <f t="shared" si="27"/>
        <v>950.22</v>
      </c>
      <c r="X42" s="60">
        <f t="shared" si="28"/>
        <v>0.25</v>
      </c>
      <c r="Y42" s="90">
        <f t="shared" si="5"/>
        <v>0.06</v>
      </c>
      <c r="Z42" s="113"/>
      <c r="AA42" s="98">
        <f t="shared" si="6"/>
        <v>2049.7800000000002</v>
      </c>
      <c r="AB42" s="58">
        <f t="shared" si="7"/>
        <v>0.32</v>
      </c>
      <c r="AC42" s="54">
        <f t="shared" si="8"/>
        <v>254.9744827586207</v>
      </c>
      <c r="AD42" s="55">
        <f t="shared" si="29"/>
        <v>633.97448275862075</v>
      </c>
      <c r="AE42" s="47">
        <v>26</v>
      </c>
    </row>
    <row r="43" spans="1:31" ht="15" x14ac:dyDescent="0.25">
      <c r="A43" s="45">
        <v>27</v>
      </c>
      <c r="B43" s="15">
        <f t="shared" si="9"/>
        <v>0</v>
      </c>
      <c r="C43" s="82">
        <f t="shared" si="10"/>
        <v>18</v>
      </c>
      <c r="D43" s="104"/>
      <c r="E43" s="92">
        <f t="shared" si="0"/>
        <v>0</v>
      </c>
      <c r="F43" s="14">
        <f t="shared" si="24"/>
        <v>9</v>
      </c>
      <c r="G43" s="84">
        <f t="shared" si="25"/>
        <v>388</v>
      </c>
      <c r="H43" s="104"/>
      <c r="I43" s="94">
        <f t="shared" si="12"/>
        <v>3</v>
      </c>
      <c r="J43" s="17">
        <f t="shared" si="13"/>
        <v>0.06</v>
      </c>
      <c r="K43" s="85">
        <f t="shared" si="26"/>
        <v>0.93000000000000016</v>
      </c>
      <c r="L43" s="108"/>
      <c r="M43" s="41">
        <f t="shared" si="1"/>
        <v>167.4</v>
      </c>
      <c r="N43" s="41">
        <f t="shared" si="2"/>
        <v>9.3000000000000007</v>
      </c>
      <c r="O43" s="62">
        <f t="shared" si="15"/>
        <v>841.3</v>
      </c>
      <c r="P43" s="65">
        <f t="shared" si="3"/>
        <v>0.28043333333333331</v>
      </c>
      <c r="Q43" s="19">
        <f t="shared" si="20"/>
        <v>90</v>
      </c>
      <c r="R43" s="20">
        <f t="shared" si="21"/>
        <v>0.23</v>
      </c>
      <c r="S43" s="23">
        <f t="shared" si="16"/>
        <v>108</v>
      </c>
      <c r="T43" s="87">
        <f t="shared" si="22"/>
        <v>0.28000000000000003</v>
      </c>
      <c r="U43" s="111"/>
      <c r="V43" s="96">
        <f t="shared" si="4"/>
        <v>200.14</v>
      </c>
      <c r="W43" s="43">
        <f t="shared" si="27"/>
        <v>1041.44</v>
      </c>
      <c r="X43" s="60">
        <f t="shared" si="28"/>
        <v>0.24</v>
      </c>
      <c r="Y43" s="90">
        <f t="shared" si="5"/>
        <v>7.0000000000000007E-2</v>
      </c>
      <c r="Z43" s="113"/>
      <c r="AA43" s="98">
        <f t="shared" si="6"/>
        <v>1958.56</v>
      </c>
      <c r="AB43" s="58">
        <f t="shared" si="7"/>
        <v>0.35</v>
      </c>
      <c r="AC43" s="54">
        <f t="shared" si="8"/>
        <v>229.96623655913973</v>
      </c>
      <c r="AD43" s="55">
        <f t="shared" si="29"/>
        <v>617.9662365591397</v>
      </c>
      <c r="AE43" s="47">
        <v>27</v>
      </c>
    </row>
    <row r="44" spans="1:31" ht="15" x14ac:dyDescent="0.25">
      <c r="A44" s="45">
        <v>28</v>
      </c>
      <c r="B44" s="15">
        <f t="shared" si="9"/>
        <v>0</v>
      </c>
      <c r="C44" s="82">
        <f t="shared" si="10"/>
        <v>18</v>
      </c>
      <c r="D44" s="104"/>
      <c r="E44" s="92">
        <f t="shared" si="0"/>
        <v>0</v>
      </c>
      <c r="F44" s="14">
        <f t="shared" si="24"/>
        <v>9</v>
      </c>
      <c r="G44" s="84">
        <f t="shared" si="25"/>
        <v>397</v>
      </c>
      <c r="H44" s="104"/>
      <c r="I44" s="94">
        <f t="shared" si="12"/>
        <v>3.1</v>
      </c>
      <c r="J44" s="17">
        <f t="shared" si="13"/>
        <v>6.2E-2</v>
      </c>
      <c r="K44" s="85">
        <f t="shared" si="26"/>
        <v>0.99000000000000021</v>
      </c>
      <c r="L44" s="108"/>
      <c r="M44" s="137">
        <f t="shared" si="1"/>
        <v>178.2</v>
      </c>
      <c r="N44" s="41">
        <f t="shared" si="2"/>
        <v>9.9</v>
      </c>
      <c r="O44" s="62">
        <f t="shared" si="15"/>
        <v>925</v>
      </c>
      <c r="P44" s="65">
        <f t="shared" si="3"/>
        <v>0.30833333333333335</v>
      </c>
      <c r="Q44" s="19">
        <f t="shared" si="20"/>
        <v>93</v>
      </c>
      <c r="R44" s="20">
        <f t="shared" si="21"/>
        <v>0.23</v>
      </c>
      <c r="S44" s="23">
        <f t="shared" si="16"/>
        <v>111</v>
      </c>
      <c r="T44" s="87">
        <f t="shared" si="22"/>
        <v>0.28000000000000003</v>
      </c>
      <c r="U44" s="111"/>
      <c r="V44" s="96">
        <f t="shared" si="4"/>
        <v>213.05</v>
      </c>
      <c r="W44" s="43">
        <f t="shared" si="27"/>
        <v>1138.05</v>
      </c>
      <c r="X44" s="60">
        <f t="shared" si="28"/>
        <v>0.23</v>
      </c>
      <c r="Y44" s="90">
        <f t="shared" si="5"/>
        <v>7.0000000000000007E-2</v>
      </c>
      <c r="Z44" s="113"/>
      <c r="AA44" s="98">
        <f t="shared" si="6"/>
        <v>1861.95</v>
      </c>
      <c r="AB44" s="58">
        <f t="shared" si="7"/>
        <v>0.38</v>
      </c>
      <c r="AC44" s="54">
        <f t="shared" si="8"/>
        <v>207.44393939393942</v>
      </c>
      <c r="AD44" s="55">
        <f t="shared" si="29"/>
        <v>604.44393939393944</v>
      </c>
      <c r="AE44" s="47">
        <v>28</v>
      </c>
    </row>
    <row r="45" spans="1:31" ht="15" x14ac:dyDescent="0.25">
      <c r="A45" s="45">
        <v>29</v>
      </c>
      <c r="B45" s="15">
        <f t="shared" si="9"/>
        <v>0</v>
      </c>
      <c r="C45" s="82">
        <f t="shared" si="10"/>
        <v>18</v>
      </c>
      <c r="D45" s="104"/>
      <c r="E45" s="92">
        <f t="shared" si="0"/>
        <v>0</v>
      </c>
      <c r="F45" s="14">
        <f t="shared" si="24"/>
        <v>9</v>
      </c>
      <c r="G45" s="84">
        <f t="shared" si="25"/>
        <v>406</v>
      </c>
      <c r="H45" s="104"/>
      <c r="I45" s="94">
        <f t="shared" si="12"/>
        <v>3.2</v>
      </c>
      <c r="J45" s="17">
        <f t="shared" si="13"/>
        <v>6.4000000000000001E-2</v>
      </c>
      <c r="K45" s="85">
        <f t="shared" si="26"/>
        <v>1.0500000000000003</v>
      </c>
      <c r="L45" s="108"/>
      <c r="M45" s="41">
        <f t="shared" si="1"/>
        <v>189</v>
      </c>
      <c r="N45" s="41">
        <f t="shared" si="2"/>
        <v>10.5</v>
      </c>
      <c r="O45" s="62">
        <f t="shared" si="15"/>
        <v>1014.1</v>
      </c>
      <c r="P45" s="65">
        <f t="shared" si="3"/>
        <v>0.33803333333333335</v>
      </c>
      <c r="Q45" s="19">
        <f t="shared" si="20"/>
        <v>97</v>
      </c>
      <c r="R45" s="20">
        <f t="shared" si="21"/>
        <v>0.24</v>
      </c>
      <c r="S45" s="23">
        <f t="shared" si="16"/>
        <v>115</v>
      </c>
      <c r="T45" s="87">
        <f t="shared" si="22"/>
        <v>0.28000000000000003</v>
      </c>
      <c r="U45" s="111"/>
      <c r="V45" s="96">
        <f t="shared" si="4"/>
        <v>225.96</v>
      </c>
      <c r="W45" s="43">
        <f t="shared" si="27"/>
        <v>1240.06</v>
      </c>
      <c r="X45" s="60">
        <f t="shared" si="28"/>
        <v>0.22</v>
      </c>
      <c r="Y45" s="90">
        <f t="shared" si="5"/>
        <v>0.08</v>
      </c>
      <c r="Z45" s="113"/>
      <c r="AA45" s="98">
        <f t="shared" si="6"/>
        <v>1759.94</v>
      </c>
      <c r="AB45" s="58">
        <f t="shared" si="7"/>
        <v>0.41</v>
      </c>
      <c r="AC45" s="54">
        <f t="shared" si="8"/>
        <v>186.98133333333334</v>
      </c>
      <c r="AD45" s="55">
        <f t="shared" si="29"/>
        <v>592.9813333333334</v>
      </c>
      <c r="AE45" s="47">
        <v>29</v>
      </c>
    </row>
    <row r="46" spans="1:31" ht="15" x14ac:dyDescent="0.25">
      <c r="A46" s="45">
        <v>30</v>
      </c>
      <c r="B46" s="115">
        <f t="shared" si="9"/>
        <v>0</v>
      </c>
      <c r="C46" s="116">
        <f t="shared" si="10"/>
        <v>18</v>
      </c>
      <c r="D46" s="104"/>
      <c r="E46" s="117">
        <f t="shared" si="0"/>
        <v>0</v>
      </c>
      <c r="F46" s="118">
        <f t="shared" si="24"/>
        <v>9</v>
      </c>
      <c r="G46" s="116">
        <f t="shared" si="25"/>
        <v>415</v>
      </c>
      <c r="H46" s="104"/>
      <c r="I46" s="119">
        <f t="shared" si="12"/>
        <v>3.3</v>
      </c>
      <c r="J46" s="120">
        <f t="shared" si="13"/>
        <v>6.6000000000000003E-2</v>
      </c>
      <c r="K46" s="121">
        <f t="shared" si="26"/>
        <v>1.1200000000000003</v>
      </c>
      <c r="L46" s="108"/>
      <c r="M46" s="122">
        <f t="shared" si="1"/>
        <v>201.6</v>
      </c>
      <c r="N46" s="122">
        <f t="shared" si="2"/>
        <v>11.2</v>
      </c>
      <c r="O46" s="123">
        <f t="shared" si="15"/>
        <v>1108.5999999999999</v>
      </c>
      <c r="P46" s="124">
        <f t="shared" si="3"/>
        <v>0.36953333333333332</v>
      </c>
      <c r="Q46" s="125">
        <f t="shared" si="20"/>
        <v>99</v>
      </c>
      <c r="R46" s="126">
        <f t="shared" si="21"/>
        <v>0.24</v>
      </c>
      <c r="S46" s="127">
        <f t="shared" si="16"/>
        <v>117</v>
      </c>
      <c r="T46" s="128">
        <f t="shared" si="22"/>
        <v>0.28000000000000003</v>
      </c>
      <c r="U46" s="111"/>
      <c r="V46" s="129">
        <f t="shared" si="4"/>
        <v>241.02</v>
      </c>
      <c r="W46" s="130">
        <f t="shared" si="27"/>
        <v>1349.62</v>
      </c>
      <c r="X46" s="131">
        <f t="shared" si="28"/>
        <v>0.22</v>
      </c>
      <c r="Y46" s="132">
        <f t="shared" si="5"/>
        <v>0.08</v>
      </c>
      <c r="Z46" s="113"/>
      <c r="AA46" s="133">
        <f t="shared" si="6"/>
        <v>1650.38</v>
      </c>
      <c r="AB46" s="134">
        <f t="shared" si="7"/>
        <v>0.45</v>
      </c>
      <c r="AC46" s="135">
        <f t="shared" si="8"/>
        <v>166.72303571428571</v>
      </c>
      <c r="AD46" s="136">
        <f t="shared" si="29"/>
        <v>581.72303571428574</v>
      </c>
      <c r="AE46" s="47">
        <v>30</v>
      </c>
    </row>
    <row r="47" spans="1:31" ht="15" x14ac:dyDescent="0.25">
      <c r="A47" s="45">
        <v>31</v>
      </c>
      <c r="B47" s="15">
        <f t="shared" si="9"/>
        <v>0</v>
      </c>
      <c r="C47" s="82">
        <f t="shared" si="10"/>
        <v>18</v>
      </c>
      <c r="D47" s="104"/>
      <c r="E47" s="92">
        <f t="shared" si="0"/>
        <v>0</v>
      </c>
      <c r="F47" s="14">
        <f t="shared" si="24"/>
        <v>9</v>
      </c>
      <c r="G47" s="82">
        <f t="shared" si="25"/>
        <v>424</v>
      </c>
      <c r="H47" s="104"/>
      <c r="I47" s="94">
        <f t="shared" si="12"/>
        <v>3.4</v>
      </c>
      <c r="J47" s="17">
        <f t="shared" si="13"/>
        <v>6.8000000000000005E-2</v>
      </c>
      <c r="K47" s="85">
        <f t="shared" si="26"/>
        <v>1.1900000000000004</v>
      </c>
      <c r="L47" s="108"/>
      <c r="M47" s="41">
        <f t="shared" si="1"/>
        <v>214.2</v>
      </c>
      <c r="N47" s="41">
        <f t="shared" si="2"/>
        <v>11.9</v>
      </c>
      <c r="O47" s="62">
        <f t="shared" si="15"/>
        <v>1209.4000000000001</v>
      </c>
      <c r="P47" s="65">
        <f t="shared" si="3"/>
        <v>0.40313333333333334</v>
      </c>
      <c r="Q47" s="19">
        <f t="shared" si="20"/>
        <v>102</v>
      </c>
      <c r="R47" s="20">
        <f t="shared" si="21"/>
        <v>0.24</v>
      </c>
      <c r="S47" s="23">
        <f t="shared" si="16"/>
        <v>120</v>
      </c>
      <c r="T47" s="87">
        <f t="shared" si="22"/>
        <v>0.28000000000000003</v>
      </c>
      <c r="U47" s="111"/>
      <c r="V47" s="96">
        <f t="shared" si="4"/>
        <v>256.08999999999997</v>
      </c>
      <c r="W47" s="43">
        <f t="shared" si="27"/>
        <v>1465.49</v>
      </c>
      <c r="X47" s="60">
        <f t="shared" si="28"/>
        <v>0.21</v>
      </c>
      <c r="Y47" s="90">
        <f t="shared" si="5"/>
        <v>0.09</v>
      </c>
      <c r="Z47" s="113"/>
      <c r="AA47" s="98">
        <f t="shared" si="6"/>
        <v>1534.51</v>
      </c>
      <c r="AB47" s="58">
        <f t="shared" si="7"/>
        <v>0.49</v>
      </c>
      <c r="AC47" s="54">
        <f t="shared" si="8"/>
        <v>148.31857142857143</v>
      </c>
      <c r="AD47" s="55">
        <f t="shared" si="29"/>
        <v>572.31857142857143</v>
      </c>
      <c r="AE47" s="47">
        <v>31</v>
      </c>
    </row>
    <row r="48" spans="1:31" ht="15" x14ac:dyDescent="0.25">
      <c r="A48" s="45">
        <v>32</v>
      </c>
      <c r="B48" s="15">
        <f t="shared" si="9"/>
        <v>0</v>
      </c>
      <c r="C48" s="82">
        <f t="shared" si="10"/>
        <v>18</v>
      </c>
      <c r="D48" s="104"/>
      <c r="E48" s="92">
        <f t="shared" si="0"/>
        <v>0</v>
      </c>
      <c r="F48" s="14">
        <f t="shared" si="24"/>
        <v>9</v>
      </c>
      <c r="G48" s="84">
        <f t="shared" si="25"/>
        <v>433</v>
      </c>
      <c r="H48" s="104"/>
      <c r="I48" s="94">
        <f t="shared" si="12"/>
        <v>3.5</v>
      </c>
      <c r="J48" s="17">
        <f t="shared" si="13"/>
        <v>7.0000000000000007E-2</v>
      </c>
      <c r="K48" s="85">
        <f t="shared" si="26"/>
        <v>1.2600000000000005</v>
      </c>
      <c r="L48" s="108"/>
      <c r="M48" s="41">
        <f t="shared" si="1"/>
        <v>226.8</v>
      </c>
      <c r="N48" s="41">
        <f t="shared" si="2"/>
        <v>12.6</v>
      </c>
      <c r="O48" s="62">
        <f t="shared" si="15"/>
        <v>1316.5</v>
      </c>
      <c r="P48" s="65">
        <f t="shared" si="3"/>
        <v>0.43883333333333335</v>
      </c>
      <c r="Q48" s="19">
        <f t="shared" si="20"/>
        <v>104</v>
      </c>
      <c r="R48" s="20">
        <f t="shared" si="21"/>
        <v>0.24</v>
      </c>
      <c r="S48" s="23">
        <f t="shared" si="16"/>
        <v>122</v>
      </c>
      <c r="T48" s="87">
        <f t="shared" si="22"/>
        <v>0.28000000000000003</v>
      </c>
      <c r="U48" s="111"/>
      <c r="V48" s="96">
        <f t="shared" si="4"/>
        <v>271.14999999999998</v>
      </c>
      <c r="W48" s="43">
        <f t="shared" si="27"/>
        <v>1587.65</v>
      </c>
      <c r="X48" s="60">
        <f t="shared" si="28"/>
        <v>0.21</v>
      </c>
      <c r="Y48" s="90">
        <f t="shared" si="5"/>
        <v>0.09</v>
      </c>
      <c r="Z48" s="113"/>
      <c r="AA48" s="98">
        <f t="shared" si="6"/>
        <v>1412.35</v>
      </c>
      <c r="AB48" s="58">
        <f t="shared" si="7"/>
        <v>0.53</v>
      </c>
      <c r="AC48" s="54">
        <f t="shared" si="8"/>
        <v>131.45912698412698</v>
      </c>
      <c r="AD48" s="55">
        <f t="shared" si="29"/>
        <v>564.45912698412701</v>
      </c>
      <c r="AE48" s="47">
        <v>32</v>
      </c>
    </row>
    <row r="49" spans="1:31" ht="15" x14ac:dyDescent="0.25">
      <c r="A49" s="45">
        <v>33</v>
      </c>
      <c r="B49" s="15">
        <f t="shared" si="9"/>
        <v>0</v>
      </c>
      <c r="C49" s="82">
        <f t="shared" si="10"/>
        <v>18</v>
      </c>
      <c r="D49" s="104"/>
      <c r="E49" s="92">
        <f t="shared" ref="E49:E80" si="30">IF(OR($A49&lt;2,AND(G$13&gt;0,$A49&gt;G$13)),0,IF(AND($A49&gt;=G$10,G$10&gt;0),G$11,IF(AND($A49&gt;=G$7,G$7&gt;0),G$8,0)))</f>
        <v>0</v>
      </c>
      <c r="F49" s="14">
        <f t="shared" si="24"/>
        <v>9</v>
      </c>
      <c r="G49" s="84">
        <f t="shared" si="25"/>
        <v>442</v>
      </c>
      <c r="H49" s="104"/>
      <c r="I49" s="94">
        <f t="shared" si="12"/>
        <v>3.6</v>
      </c>
      <c r="J49" s="17">
        <f t="shared" si="13"/>
        <v>7.1999999999999995E-2</v>
      </c>
      <c r="K49" s="85">
        <f t="shared" si="26"/>
        <v>1.3300000000000005</v>
      </c>
      <c r="L49" s="108"/>
      <c r="M49" s="41">
        <f t="shared" ref="M49:M80" si="31">ROUND(C49*N49-K49*$O$6,2)</f>
        <v>239.4</v>
      </c>
      <c r="N49" s="41">
        <f t="shared" ref="N49:N80" si="32">ROUND(ROUND(K49,2)*$O$4,2)</f>
        <v>13.3</v>
      </c>
      <c r="O49" s="62">
        <f t="shared" si="15"/>
        <v>1429.9</v>
      </c>
      <c r="P49" s="65">
        <f t="shared" ref="P49:P80" si="33">O49/$O$10</f>
        <v>0.47663333333333335</v>
      </c>
      <c r="Q49" s="19">
        <f t="shared" si="20"/>
        <v>108</v>
      </c>
      <c r="R49" s="20">
        <f t="shared" si="21"/>
        <v>0.24</v>
      </c>
      <c r="S49" s="23">
        <f t="shared" si="16"/>
        <v>126</v>
      </c>
      <c r="T49" s="87">
        <f t="shared" si="22"/>
        <v>0.28999999999999998</v>
      </c>
      <c r="U49" s="111"/>
      <c r="V49" s="96">
        <f t="shared" ref="V49:V80" si="34">ROUND(K49*$O$8,2)</f>
        <v>286.22000000000003</v>
      </c>
      <c r="W49" s="43">
        <f t="shared" si="27"/>
        <v>1716.12</v>
      </c>
      <c r="X49" s="60">
        <f t="shared" si="28"/>
        <v>0.2</v>
      </c>
      <c r="Y49" s="90">
        <f t="shared" ref="Y49:Y80" si="35">IF($O$10&gt;0,ROUND(V49/$O$10,2),0)</f>
        <v>0.1</v>
      </c>
      <c r="Z49" s="113"/>
      <c r="AA49" s="98">
        <f t="shared" ref="AA49:AA80" si="36">IF($O$10&gt;0,ROUND($O$10-W49,2),0)</f>
        <v>1283.8800000000001</v>
      </c>
      <c r="AB49" s="58">
        <f t="shared" ref="AB49:AB80" si="37">IF($O$10&gt;0,ROUND(W49/$O$10,2),0)</f>
        <v>0.56999999999999995</v>
      </c>
      <c r="AC49" s="54">
        <f t="shared" ref="AC49:AC80" si="38">IF(AND(AA49&gt;0,$O$4&gt;0),($O$10-O49-V49*$O$9)/N49,0)</f>
        <v>115.90060150375938</v>
      </c>
      <c r="AD49" s="55">
        <f t="shared" si="29"/>
        <v>557.90060150375939</v>
      </c>
      <c r="AE49" s="47">
        <v>33</v>
      </c>
    </row>
    <row r="50" spans="1:31" ht="15" x14ac:dyDescent="0.25">
      <c r="A50" s="45">
        <v>34</v>
      </c>
      <c r="B50" s="15">
        <f t="shared" ref="B50:B81" si="39">IF(AND($A50&gt;=C$10,C$10&gt;0),0,IF(AND($A50&gt;=C$7,C$7&gt;0),C$8,0))</f>
        <v>0</v>
      </c>
      <c r="C50" s="82">
        <f t="shared" ref="C50:C81" si="40">IF(AND($A50&gt;=C$10,C$10&gt;0),C$11,C49+B50)</f>
        <v>18</v>
      </c>
      <c r="D50" s="104"/>
      <c r="E50" s="92">
        <f t="shared" si="30"/>
        <v>0</v>
      </c>
      <c r="F50" s="14">
        <f t="shared" si="24"/>
        <v>9</v>
      </c>
      <c r="G50" s="84">
        <f t="shared" si="25"/>
        <v>451</v>
      </c>
      <c r="H50" s="104"/>
      <c r="I50" s="94">
        <f t="shared" ref="I50:I81" si="41">IF(($A50&lt;K$5),1,IF(AND($A50&gt;K$13,K$13&gt;0),I49,IF(AND($A50&gt;=K$10,K$10&gt;0),ROUND(I49+K$11,4),IF(AND($A50&gt;=K$7,K$7&gt;0),ROUND(I49+K$8,4),K$4))))</f>
        <v>3.7</v>
      </c>
      <c r="J50" s="17">
        <f t="shared" ref="J50:J81" si="42">IF($A50&lt;K$5, K$3, IF(K$2=0,IF(K$14&gt;0,IF(K$3*K$14&lt;ROUND(J49*I50, 3),K$3*K$14,ROUND(J49*I50, 3)),ROUND(J49*I50, 3)),IF(K$14&gt;0,IF(K$3*K$14&lt;ROUND(K$3*I50, 3),K$3*K$14,ROUND(K$3*I50, 3)),ROUND(K$3*I50, 3))))</f>
        <v>7.3999999999999996E-2</v>
      </c>
      <c r="K50" s="85">
        <f t="shared" si="26"/>
        <v>1.4000000000000006</v>
      </c>
      <c r="L50" s="108"/>
      <c r="M50" s="41">
        <f t="shared" si="31"/>
        <v>252</v>
      </c>
      <c r="N50" s="41">
        <f t="shared" si="32"/>
        <v>14</v>
      </c>
      <c r="O50" s="62">
        <f t="shared" ref="O50:O81" si="43">ROUND((ROUND(K49,2)*(G50-G49)*$O$4+O49+J50*$O$6),2)</f>
        <v>1549.6</v>
      </c>
      <c r="P50" s="65">
        <f t="shared" si="33"/>
        <v>0.51653333333333329</v>
      </c>
      <c r="Q50" s="19">
        <f t="shared" si="20"/>
        <v>111</v>
      </c>
      <c r="R50" s="20">
        <f t="shared" si="21"/>
        <v>0.25</v>
      </c>
      <c r="S50" s="23">
        <f t="shared" si="16"/>
        <v>129</v>
      </c>
      <c r="T50" s="87">
        <f t="shared" si="22"/>
        <v>0.28999999999999998</v>
      </c>
      <c r="U50" s="111"/>
      <c r="V50" s="96">
        <f t="shared" si="34"/>
        <v>301.27999999999997</v>
      </c>
      <c r="W50" s="43">
        <f t="shared" si="27"/>
        <v>1850.88</v>
      </c>
      <c r="X50" s="60">
        <f t="shared" si="28"/>
        <v>0.19</v>
      </c>
      <c r="Y50" s="90">
        <f t="shared" si="35"/>
        <v>0.1</v>
      </c>
      <c r="Z50" s="113"/>
      <c r="AA50" s="98">
        <f t="shared" si="36"/>
        <v>1149.1199999999999</v>
      </c>
      <c r="AB50" s="58">
        <f t="shared" si="37"/>
        <v>0.62</v>
      </c>
      <c r="AC50" s="54">
        <f t="shared" si="38"/>
        <v>101.44800000000001</v>
      </c>
      <c r="AD50" s="55">
        <f t="shared" si="29"/>
        <v>552.44799999999998</v>
      </c>
      <c r="AE50" s="47">
        <v>34</v>
      </c>
    </row>
    <row r="51" spans="1:31" ht="15" x14ac:dyDescent="0.25">
      <c r="A51" s="45">
        <v>35</v>
      </c>
      <c r="B51" s="115">
        <f t="shared" si="39"/>
        <v>0</v>
      </c>
      <c r="C51" s="116">
        <f t="shared" si="40"/>
        <v>18</v>
      </c>
      <c r="D51" s="104"/>
      <c r="E51" s="117">
        <f t="shared" si="30"/>
        <v>0</v>
      </c>
      <c r="F51" s="118">
        <f t="shared" si="24"/>
        <v>9</v>
      </c>
      <c r="G51" s="116">
        <f t="shared" si="25"/>
        <v>460</v>
      </c>
      <c r="H51" s="104"/>
      <c r="I51" s="119">
        <f t="shared" si="41"/>
        <v>3.8</v>
      </c>
      <c r="J51" s="120">
        <f t="shared" si="42"/>
        <v>7.5999999999999998E-2</v>
      </c>
      <c r="K51" s="121">
        <f t="shared" si="26"/>
        <v>1.4800000000000006</v>
      </c>
      <c r="L51" s="108"/>
      <c r="M51" s="122">
        <f t="shared" si="31"/>
        <v>266.39999999999998</v>
      </c>
      <c r="N51" s="122">
        <f t="shared" si="32"/>
        <v>14.8</v>
      </c>
      <c r="O51" s="123">
        <f t="shared" si="43"/>
        <v>1675.6</v>
      </c>
      <c r="P51" s="124">
        <f t="shared" si="33"/>
        <v>0.55853333333333333</v>
      </c>
      <c r="Q51" s="125">
        <f t="shared" si="20"/>
        <v>113</v>
      </c>
      <c r="R51" s="126">
        <f t="shared" si="21"/>
        <v>0.25</v>
      </c>
      <c r="S51" s="127">
        <f t="shared" si="16"/>
        <v>131</v>
      </c>
      <c r="T51" s="128">
        <f t="shared" si="22"/>
        <v>0.28000000000000003</v>
      </c>
      <c r="U51" s="111"/>
      <c r="V51" s="129">
        <f t="shared" si="34"/>
        <v>318.5</v>
      </c>
      <c r="W51" s="130">
        <f t="shared" si="27"/>
        <v>1994.1</v>
      </c>
      <c r="X51" s="131">
        <f t="shared" si="28"/>
        <v>0.19</v>
      </c>
      <c r="Y51" s="132">
        <f t="shared" si="35"/>
        <v>0.11</v>
      </c>
      <c r="Z51" s="113"/>
      <c r="AA51" s="133">
        <f t="shared" si="36"/>
        <v>1005.9</v>
      </c>
      <c r="AB51" s="134">
        <f t="shared" si="37"/>
        <v>0.66</v>
      </c>
      <c r="AC51" s="135">
        <f t="shared" si="38"/>
        <v>87.334459459459467</v>
      </c>
      <c r="AD51" s="136">
        <f t="shared" si="29"/>
        <v>547.33445945945948</v>
      </c>
      <c r="AE51" s="47">
        <v>35</v>
      </c>
    </row>
    <row r="52" spans="1:31" ht="15" x14ac:dyDescent="0.25">
      <c r="A52" s="45">
        <v>36</v>
      </c>
      <c r="B52" s="15">
        <f t="shared" si="39"/>
        <v>0</v>
      </c>
      <c r="C52" s="82">
        <f t="shared" si="40"/>
        <v>18</v>
      </c>
      <c r="D52" s="104"/>
      <c r="E52" s="92">
        <f t="shared" si="30"/>
        <v>0</v>
      </c>
      <c r="F52" s="14">
        <f t="shared" si="24"/>
        <v>9</v>
      </c>
      <c r="G52" s="84">
        <f t="shared" si="25"/>
        <v>469</v>
      </c>
      <c r="H52" s="104"/>
      <c r="I52" s="94">
        <f t="shared" si="41"/>
        <v>3.9</v>
      </c>
      <c r="J52" s="17">
        <f t="shared" si="42"/>
        <v>7.8E-2</v>
      </c>
      <c r="K52" s="85">
        <f t="shared" si="26"/>
        <v>1.5600000000000007</v>
      </c>
      <c r="L52" s="108"/>
      <c r="M52" s="41">
        <f t="shared" si="31"/>
        <v>280.8</v>
      </c>
      <c r="N52" s="41">
        <f t="shared" si="32"/>
        <v>15.6</v>
      </c>
      <c r="O52" s="62">
        <f t="shared" si="43"/>
        <v>1808.8</v>
      </c>
      <c r="P52" s="65">
        <f t="shared" si="33"/>
        <v>0.60293333333333332</v>
      </c>
      <c r="Q52" s="19">
        <f t="shared" si="20"/>
        <v>116</v>
      </c>
      <c r="R52" s="20">
        <f t="shared" si="21"/>
        <v>0.25</v>
      </c>
      <c r="S52" s="23">
        <f t="shared" si="16"/>
        <v>134</v>
      </c>
      <c r="T52" s="87">
        <f t="shared" si="22"/>
        <v>0.28999999999999998</v>
      </c>
      <c r="U52" s="111"/>
      <c r="V52" s="96">
        <f t="shared" si="34"/>
        <v>335.71</v>
      </c>
      <c r="W52" s="43">
        <f t="shared" si="27"/>
        <v>2144.5100000000002</v>
      </c>
      <c r="X52" s="60">
        <f t="shared" si="28"/>
        <v>0.19</v>
      </c>
      <c r="Y52" s="90">
        <f t="shared" si="35"/>
        <v>0.11</v>
      </c>
      <c r="Z52" s="113"/>
      <c r="AA52" s="98">
        <f t="shared" si="36"/>
        <v>855.49</v>
      </c>
      <c r="AB52" s="58">
        <f t="shared" si="37"/>
        <v>0.71</v>
      </c>
      <c r="AC52" s="54">
        <f t="shared" si="38"/>
        <v>74.206987179487186</v>
      </c>
      <c r="AD52" s="55">
        <f t="shared" si="29"/>
        <v>543.20698717948721</v>
      </c>
      <c r="AE52" s="47">
        <v>36</v>
      </c>
    </row>
    <row r="53" spans="1:31" ht="15" x14ac:dyDescent="0.25">
      <c r="A53" s="45">
        <v>37</v>
      </c>
      <c r="B53" s="15">
        <f t="shared" si="39"/>
        <v>0</v>
      </c>
      <c r="C53" s="82">
        <f t="shared" si="40"/>
        <v>18</v>
      </c>
      <c r="D53" s="104"/>
      <c r="E53" s="92">
        <f t="shared" si="30"/>
        <v>0</v>
      </c>
      <c r="F53" s="14">
        <f t="shared" si="24"/>
        <v>9</v>
      </c>
      <c r="G53" s="84">
        <f t="shared" si="25"/>
        <v>478</v>
      </c>
      <c r="H53" s="104"/>
      <c r="I53" s="94">
        <f t="shared" si="41"/>
        <v>4</v>
      </c>
      <c r="J53" s="17">
        <f t="shared" si="42"/>
        <v>0.08</v>
      </c>
      <c r="K53" s="85">
        <f t="shared" si="26"/>
        <v>1.6400000000000008</v>
      </c>
      <c r="L53" s="108"/>
      <c r="M53" s="41">
        <f t="shared" si="31"/>
        <v>295.2</v>
      </c>
      <c r="N53" s="41">
        <f t="shared" si="32"/>
        <v>16.399999999999999</v>
      </c>
      <c r="O53" s="62">
        <f t="shared" si="43"/>
        <v>1949.2</v>
      </c>
      <c r="P53" s="65">
        <f t="shared" si="33"/>
        <v>0.64973333333333338</v>
      </c>
      <c r="Q53" s="19">
        <f t="shared" si="20"/>
        <v>119</v>
      </c>
      <c r="R53" s="20">
        <f t="shared" si="21"/>
        <v>0.25</v>
      </c>
      <c r="S53" s="23">
        <f t="shared" si="16"/>
        <v>137</v>
      </c>
      <c r="T53" s="87">
        <f t="shared" si="22"/>
        <v>0.28999999999999998</v>
      </c>
      <c r="U53" s="111"/>
      <c r="V53" s="96">
        <f t="shared" si="34"/>
        <v>352.93</v>
      </c>
      <c r="W53" s="43">
        <f t="shared" si="27"/>
        <v>2302.13</v>
      </c>
      <c r="X53" s="60">
        <f t="shared" si="28"/>
        <v>0.18</v>
      </c>
      <c r="Y53" s="90">
        <f t="shared" si="35"/>
        <v>0.12</v>
      </c>
      <c r="Z53" s="113"/>
      <c r="AA53" s="98">
        <f t="shared" si="36"/>
        <v>697.87</v>
      </c>
      <c r="AB53" s="58">
        <f t="shared" si="37"/>
        <v>0.77</v>
      </c>
      <c r="AC53" s="54">
        <f t="shared" si="38"/>
        <v>61.921158536585367</v>
      </c>
      <c r="AD53" s="55">
        <f t="shared" si="29"/>
        <v>539.92115853658538</v>
      </c>
      <c r="AE53" s="47">
        <v>37</v>
      </c>
    </row>
    <row r="54" spans="1:31" ht="15" x14ac:dyDescent="0.25">
      <c r="A54" s="45">
        <v>38</v>
      </c>
      <c r="B54" s="15">
        <f t="shared" si="39"/>
        <v>0</v>
      </c>
      <c r="C54" s="82">
        <f t="shared" si="40"/>
        <v>18</v>
      </c>
      <c r="D54" s="104"/>
      <c r="E54" s="92">
        <f t="shared" si="30"/>
        <v>0</v>
      </c>
      <c r="F54" s="14">
        <f t="shared" si="24"/>
        <v>9</v>
      </c>
      <c r="G54" s="84">
        <f t="shared" si="25"/>
        <v>487</v>
      </c>
      <c r="H54" s="104"/>
      <c r="I54" s="94">
        <f t="shared" si="41"/>
        <v>4.0999999999999996</v>
      </c>
      <c r="J54" s="17">
        <f t="shared" si="42"/>
        <v>8.2000000000000003E-2</v>
      </c>
      <c r="K54" s="85">
        <f t="shared" si="26"/>
        <v>1.7200000000000009</v>
      </c>
      <c r="L54" s="108"/>
      <c r="M54" s="41">
        <f t="shared" si="31"/>
        <v>309.60000000000002</v>
      </c>
      <c r="N54" s="41">
        <f t="shared" si="32"/>
        <v>17.2</v>
      </c>
      <c r="O54" s="62">
        <f t="shared" si="43"/>
        <v>2096.8000000000002</v>
      </c>
      <c r="P54" s="65">
        <f t="shared" si="33"/>
        <v>0.69893333333333341</v>
      </c>
      <c r="Q54" s="19">
        <f t="shared" si="20"/>
        <v>122</v>
      </c>
      <c r="R54" s="20">
        <f t="shared" si="21"/>
        <v>0.25</v>
      </c>
      <c r="S54" s="23">
        <f t="shared" si="16"/>
        <v>140</v>
      </c>
      <c r="T54" s="87">
        <f t="shared" si="22"/>
        <v>0.28999999999999998</v>
      </c>
      <c r="U54" s="111"/>
      <c r="V54" s="96">
        <f t="shared" si="34"/>
        <v>370.14</v>
      </c>
      <c r="W54" s="43">
        <f t="shared" si="27"/>
        <v>2466.94</v>
      </c>
      <c r="X54" s="60">
        <f t="shared" si="28"/>
        <v>0.18</v>
      </c>
      <c r="Y54" s="90">
        <f t="shared" si="35"/>
        <v>0.12</v>
      </c>
      <c r="Z54" s="113"/>
      <c r="AA54" s="98">
        <f t="shared" si="36"/>
        <v>533.05999999999995</v>
      </c>
      <c r="AB54" s="58">
        <f t="shared" si="37"/>
        <v>0.82</v>
      </c>
      <c r="AC54" s="54">
        <f t="shared" si="38"/>
        <v>50.359651162790691</v>
      </c>
      <c r="AD54" s="55">
        <f t="shared" si="29"/>
        <v>537.35965116279067</v>
      </c>
      <c r="AE54" s="47">
        <v>38</v>
      </c>
    </row>
    <row r="55" spans="1:31" ht="15" x14ac:dyDescent="0.25">
      <c r="A55" s="45">
        <v>39</v>
      </c>
      <c r="B55" s="15">
        <f t="shared" si="39"/>
        <v>0</v>
      </c>
      <c r="C55" s="82">
        <f t="shared" si="40"/>
        <v>18</v>
      </c>
      <c r="D55" s="104"/>
      <c r="E55" s="92">
        <f t="shared" si="30"/>
        <v>0</v>
      </c>
      <c r="F55" s="14">
        <f t="shared" si="24"/>
        <v>9</v>
      </c>
      <c r="G55" s="84">
        <f t="shared" si="25"/>
        <v>496</v>
      </c>
      <c r="H55" s="104"/>
      <c r="I55" s="94">
        <f t="shared" si="41"/>
        <v>4.2</v>
      </c>
      <c r="J55" s="17">
        <f t="shared" si="42"/>
        <v>8.4000000000000005E-2</v>
      </c>
      <c r="K55" s="85">
        <f t="shared" si="26"/>
        <v>1.8000000000000009</v>
      </c>
      <c r="L55" s="108"/>
      <c r="M55" s="41">
        <f t="shared" si="31"/>
        <v>324</v>
      </c>
      <c r="N55" s="41">
        <f t="shared" si="32"/>
        <v>18</v>
      </c>
      <c r="O55" s="62">
        <f t="shared" si="43"/>
        <v>2251.6</v>
      </c>
      <c r="P55" s="65">
        <f t="shared" si="33"/>
        <v>0.75053333333333327</v>
      </c>
      <c r="Q55" s="19">
        <f t="shared" si="20"/>
        <v>125</v>
      </c>
      <c r="R55" s="20">
        <f t="shared" si="21"/>
        <v>0.25</v>
      </c>
      <c r="S55" s="23">
        <f t="shared" si="16"/>
        <v>143</v>
      </c>
      <c r="T55" s="87">
        <f t="shared" si="22"/>
        <v>0.28999999999999998</v>
      </c>
      <c r="U55" s="111"/>
      <c r="V55" s="96">
        <f t="shared" si="34"/>
        <v>387.36</v>
      </c>
      <c r="W55" s="43">
        <f t="shared" si="27"/>
        <v>2638.96</v>
      </c>
      <c r="X55" s="60">
        <f t="shared" si="28"/>
        <v>0.17</v>
      </c>
      <c r="Y55" s="90">
        <f t="shared" si="35"/>
        <v>0.13</v>
      </c>
      <c r="Z55" s="113"/>
      <c r="AA55" s="98">
        <f t="shared" si="36"/>
        <v>361.04</v>
      </c>
      <c r="AB55" s="58">
        <f t="shared" si="37"/>
        <v>0.88</v>
      </c>
      <c r="AC55" s="54">
        <f t="shared" si="38"/>
        <v>39.425777777777782</v>
      </c>
      <c r="AD55" s="55">
        <f t="shared" si="29"/>
        <v>535.42577777777774</v>
      </c>
      <c r="AE55" s="47">
        <v>39</v>
      </c>
    </row>
    <row r="56" spans="1:31" ht="15" x14ac:dyDescent="0.25">
      <c r="A56" s="45">
        <v>40</v>
      </c>
      <c r="B56" s="115">
        <f t="shared" si="39"/>
        <v>0</v>
      </c>
      <c r="C56" s="116">
        <f t="shared" si="40"/>
        <v>18</v>
      </c>
      <c r="D56" s="104"/>
      <c r="E56" s="117">
        <f t="shared" si="30"/>
        <v>0</v>
      </c>
      <c r="F56" s="118">
        <f t="shared" si="24"/>
        <v>9</v>
      </c>
      <c r="G56" s="116">
        <f t="shared" si="25"/>
        <v>505</v>
      </c>
      <c r="H56" s="104"/>
      <c r="I56" s="119">
        <f t="shared" si="41"/>
        <v>4.3</v>
      </c>
      <c r="J56" s="120">
        <f t="shared" si="42"/>
        <v>8.5999999999999993E-2</v>
      </c>
      <c r="K56" s="121">
        <f t="shared" si="26"/>
        <v>1.890000000000001</v>
      </c>
      <c r="L56" s="108"/>
      <c r="M56" s="122">
        <f t="shared" si="31"/>
        <v>340.2</v>
      </c>
      <c r="N56" s="122">
        <f t="shared" si="32"/>
        <v>18.899999999999999</v>
      </c>
      <c r="O56" s="123">
        <f t="shared" si="43"/>
        <v>2413.6</v>
      </c>
      <c r="P56" s="124">
        <f t="shared" si="33"/>
        <v>0.80453333333333332</v>
      </c>
      <c r="Q56" s="125">
        <f t="shared" si="20"/>
        <v>128</v>
      </c>
      <c r="R56" s="126">
        <f t="shared" si="21"/>
        <v>0.25</v>
      </c>
      <c r="S56" s="127">
        <f t="shared" si="16"/>
        <v>146</v>
      </c>
      <c r="T56" s="128">
        <f t="shared" si="22"/>
        <v>0.28999999999999998</v>
      </c>
      <c r="U56" s="111"/>
      <c r="V56" s="129">
        <f t="shared" si="34"/>
        <v>406.73</v>
      </c>
      <c r="W56" s="130">
        <f t="shared" si="27"/>
        <v>2820.33</v>
      </c>
      <c r="X56" s="131">
        <f t="shared" si="28"/>
        <v>0.17</v>
      </c>
      <c r="Y56" s="132">
        <f t="shared" si="35"/>
        <v>0.14000000000000001</v>
      </c>
      <c r="Z56" s="113"/>
      <c r="AA56" s="133">
        <f t="shared" si="36"/>
        <v>179.67</v>
      </c>
      <c r="AB56" s="134">
        <f t="shared" si="37"/>
        <v>0.94</v>
      </c>
      <c r="AC56" s="135">
        <f t="shared" si="38"/>
        <v>28.87444444444445</v>
      </c>
      <c r="AD56" s="136">
        <f t="shared" si="29"/>
        <v>533.87444444444441</v>
      </c>
      <c r="AE56" s="47">
        <v>40</v>
      </c>
    </row>
    <row r="57" spans="1:31" ht="15" x14ac:dyDescent="0.25">
      <c r="A57" s="45">
        <v>41</v>
      </c>
      <c r="B57" s="15">
        <f t="shared" si="39"/>
        <v>0</v>
      </c>
      <c r="C57" s="82">
        <f t="shared" si="40"/>
        <v>18</v>
      </c>
      <c r="D57" s="104"/>
      <c r="E57" s="92">
        <f t="shared" si="30"/>
        <v>0</v>
      </c>
      <c r="F57" s="14">
        <f t="shared" si="24"/>
        <v>9</v>
      </c>
      <c r="G57" s="84">
        <f t="shared" si="25"/>
        <v>514</v>
      </c>
      <c r="H57" s="104"/>
      <c r="I57" s="94">
        <f t="shared" si="41"/>
        <v>4.4000000000000004</v>
      </c>
      <c r="J57" s="17">
        <f t="shared" si="42"/>
        <v>8.7999999999999995E-2</v>
      </c>
      <c r="K57" s="85">
        <f t="shared" si="26"/>
        <v>1.9800000000000011</v>
      </c>
      <c r="L57" s="108"/>
      <c r="M57" s="41">
        <f t="shared" si="31"/>
        <v>356.4</v>
      </c>
      <c r="N57" s="41">
        <f t="shared" si="32"/>
        <v>19.8</v>
      </c>
      <c r="O57" s="62">
        <f t="shared" si="43"/>
        <v>2583.6999999999998</v>
      </c>
      <c r="P57" s="65">
        <f t="shared" si="33"/>
        <v>0.8612333333333333</v>
      </c>
      <c r="Q57" s="19">
        <f t="shared" si="20"/>
        <v>130</v>
      </c>
      <c r="R57" s="20">
        <f t="shared" si="21"/>
        <v>0.25</v>
      </c>
      <c r="S57" s="23">
        <f t="shared" si="16"/>
        <v>148</v>
      </c>
      <c r="T57" s="87">
        <f t="shared" si="22"/>
        <v>0.28999999999999998</v>
      </c>
      <c r="U57" s="111"/>
      <c r="V57" s="96">
        <f t="shared" si="34"/>
        <v>426.1</v>
      </c>
      <c r="W57" s="43">
        <f t="shared" si="27"/>
        <v>3009.8</v>
      </c>
      <c r="X57" s="60">
        <f t="shared" si="28"/>
        <v>0.16</v>
      </c>
      <c r="Y57" s="90">
        <f t="shared" si="35"/>
        <v>0.14000000000000001</v>
      </c>
      <c r="Z57" s="113"/>
      <c r="AA57" s="98">
        <f t="shared" si="36"/>
        <v>-9.8000000000000007</v>
      </c>
      <c r="AB57" s="58">
        <f t="shared" si="37"/>
        <v>1</v>
      </c>
      <c r="AC57" s="54">
        <f t="shared" si="38"/>
        <v>0</v>
      </c>
      <c r="AD57" s="55">
        <f t="shared" si="29"/>
        <v>0</v>
      </c>
      <c r="AE57" s="47">
        <v>41</v>
      </c>
    </row>
    <row r="58" spans="1:31" ht="15" x14ac:dyDescent="0.25">
      <c r="A58" s="45">
        <v>42</v>
      </c>
      <c r="B58" s="15">
        <f t="shared" si="39"/>
        <v>0</v>
      </c>
      <c r="C58" s="82">
        <f t="shared" si="40"/>
        <v>18</v>
      </c>
      <c r="D58" s="104"/>
      <c r="E58" s="92">
        <f t="shared" si="30"/>
        <v>0</v>
      </c>
      <c r="F58" s="14">
        <f t="shared" si="24"/>
        <v>9</v>
      </c>
      <c r="G58" s="84">
        <f t="shared" si="25"/>
        <v>523</v>
      </c>
      <c r="H58" s="104"/>
      <c r="I58" s="94">
        <f t="shared" si="41"/>
        <v>4.5</v>
      </c>
      <c r="J58" s="17">
        <f t="shared" si="42"/>
        <v>0.09</v>
      </c>
      <c r="K58" s="85">
        <f t="shared" si="26"/>
        <v>2.0700000000000012</v>
      </c>
      <c r="L58" s="108"/>
      <c r="M58" s="41">
        <f t="shared" si="31"/>
        <v>372.6</v>
      </c>
      <c r="N58" s="41">
        <f t="shared" si="32"/>
        <v>20.7</v>
      </c>
      <c r="O58" s="62">
        <f t="shared" si="43"/>
        <v>2761.9</v>
      </c>
      <c r="P58" s="65">
        <f t="shared" si="33"/>
        <v>0.92063333333333341</v>
      </c>
      <c r="Q58" s="19">
        <f t="shared" si="20"/>
        <v>133</v>
      </c>
      <c r="R58" s="20">
        <f t="shared" si="21"/>
        <v>0.25</v>
      </c>
      <c r="S58" s="23">
        <f t="shared" si="16"/>
        <v>151</v>
      </c>
      <c r="T58" s="87">
        <f t="shared" si="22"/>
        <v>0.28999999999999998</v>
      </c>
      <c r="U58" s="111"/>
      <c r="V58" s="96">
        <f t="shared" si="34"/>
        <v>445.46</v>
      </c>
      <c r="W58" s="43">
        <f t="shared" si="27"/>
        <v>3207.36</v>
      </c>
      <c r="X58" s="60">
        <f t="shared" si="28"/>
        <v>0.16</v>
      </c>
      <c r="Y58" s="90">
        <f t="shared" si="35"/>
        <v>0.15</v>
      </c>
      <c r="Z58" s="113"/>
      <c r="AA58" s="98">
        <f t="shared" si="36"/>
        <v>-207.36</v>
      </c>
      <c r="AB58" s="58">
        <f t="shared" si="37"/>
        <v>1.07</v>
      </c>
      <c r="AC58" s="54">
        <f t="shared" si="38"/>
        <v>0</v>
      </c>
      <c r="AD58" s="55">
        <f t="shared" si="29"/>
        <v>0</v>
      </c>
      <c r="AE58" s="47">
        <v>42</v>
      </c>
    </row>
    <row r="59" spans="1:31" ht="15" x14ac:dyDescent="0.25">
      <c r="A59" s="45">
        <v>43</v>
      </c>
      <c r="B59" s="15">
        <f t="shared" si="39"/>
        <v>0</v>
      </c>
      <c r="C59" s="82">
        <f t="shared" si="40"/>
        <v>18</v>
      </c>
      <c r="D59" s="104"/>
      <c r="E59" s="92">
        <f t="shared" si="30"/>
        <v>0</v>
      </c>
      <c r="F59" s="14">
        <f t="shared" si="24"/>
        <v>9</v>
      </c>
      <c r="G59" s="84">
        <f t="shared" si="25"/>
        <v>532</v>
      </c>
      <c r="H59" s="104"/>
      <c r="I59" s="94">
        <f t="shared" si="41"/>
        <v>4.5999999999999996</v>
      </c>
      <c r="J59" s="17">
        <f t="shared" si="42"/>
        <v>9.1999999999999998E-2</v>
      </c>
      <c r="K59" s="85">
        <f t="shared" si="26"/>
        <v>2.160000000000001</v>
      </c>
      <c r="L59" s="108"/>
      <c r="M59" s="41">
        <f t="shared" si="31"/>
        <v>388.8</v>
      </c>
      <c r="N59" s="41">
        <f t="shared" si="32"/>
        <v>21.6</v>
      </c>
      <c r="O59" s="62">
        <f t="shared" si="43"/>
        <v>2948.2</v>
      </c>
      <c r="P59" s="65">
        <f t="shared" si="33"/>
        <v>0.98273333333333324</v>
      </c>
      <c r="Q59" s="19">
        <f t="shared" si="20"/>
        <v>136</v>
      </c>
      <c r="R59" s="20">
        <f t="shared" si="21"/>
        <v>0.26</v>
      </c>
      <c r="S59" s="23">
        <f t="shared" si="16"/>
        <v>154</v>
      </c>
      <c r="T59" s="87">
        <f t="shared" si="22"/>
        <v>0.28999999999999998</v>
      </c>
      <c r="U59" s="111"/>
      <c r="V59" s="96">
        <f t="shared" si="34"/>
        <v>464.83</v>
      </c>
      <c r="W59" s="43">
        <f t="shared" si="27"/>
        <v>3413.03</v>
      </c>
      <c r="X59" s="60">
        <f t="shared" si="28"/>
        <v>0.16</v>
      </c>
      <c r="Y59" s="90">
        <f t="shared" si="35"/>
        <v>0.15</v>
      </c>
      <c r="Z59" s="113"/>
      <c r="AA59" s="98">
        <f t="shared" si="36"/>
        <v>-413.03</v>
      </c>
      <c r="AB59" s="58">
        <f t="shared" si="37"/>
        <v>1.1399999999999999</v>
      </c>
      <c r="AC59" s="54">
        <f t="shared" si="38"/>
        <v>0</v>
      </c>
      <c r="AD59" s="55">
        <f t="shared" si="29"/>
        <v>0</v>
      </c>
      <c r="AE59" s="47">
        <v>43</v>
      </c>
    </row>
    <row r="60" spans="1:31" ht="15" x14ac:dyDescent="0.25">
      <c r="A60" s="45">
        <v>44</v>
      </c>
      <c r="B60" s="15">
        <f t="shared" si="39"/>
        <v>0</v>
      </c>
      <c r="C60" s="82">
        <f t="shared" si="40"/>
        <v>18</v>
      </c>
      <c r="D60" s="104"/>
      <c r="E60" s="92">
        <f t="shared" si="30"/>
        <v>0</v>
      </c>
      <c r="F60" s="14">
        <f t="shared" si="24"/>
        <v>9</v>
      </c>
      <c r="G60" s="84">
        <f t="shared" si="25"/>
        <v>541</v>
      </c>
      <c r="H60" s="104"/>
      <c r="I60" s="94">
        <f t="shared" si="41"/>
        <v>4.7</v>
      </c>
      <c r="J60" s="17">
        <f t="shared" si="42"/>
        <v>9.4E-2</v>
      </c>
      <c r="K60" s="85">
        <f t="shared" si="26"/>
        <v>2.2500000000000009</v>
      </c>
      <c r="L60" s="108"/>
      <c r="M60" s="41">
        <f t="shared" si="31"/>
        <v>405</v>
      </c>
      <c r="N60" s="41">
        <f t="shared" si="32"/>
        <v>22.5</v>
      </c>
      <c r="O60" s="62">
        <f t="shared" si="43"/>
        <v>3142.6</v>
      </c>
      <c r="P60" s="65">
        <f t="shared" si="33"/>
        <v>1.0475333333333332</v>
      </c>
      <c r="Q60" s="19">
        <f t="shared" si="20"/>
        <v>140</v>
      </c>
      <c r="R60" s="20">
        <f t="shared" si="21"/>
        <v>0.26</v>
      </c>
      <c r="S60" s="23">
        <f t="shared" si="16"/>
        <v>158</v>
      </c>
      <c r="T60" s="87">
        <f t="shared" si="22"/>
        <v>0.28999999999999998</v>
      </c>
      <c r="U60" s="111"/>
      <c r="V60" s="96">
        <f t="shared" si="34"/>
        <v>484.2</v>
      </c>
      <c r="W60" s="43">
        <f t="shared" si="27"/>
        <v>3626.8</v>
      </c>
      <c r="X60" s="60">
        <f t="shared" si="28"/>
        <v>0.15</v>
      </c>
      <c r="Y60" s="90">
        <f t="shared" si="35"/>
        <v>0.16</v>
      </c>
      <c r="Z60" s="113"/>
      <c r="AA60" s="98">
        <f t="shared" si="36"/>
        <v>-626.79999999999995</v>
      </c>
      <c r="AB60" s="58">
        <f t="shared" si="37"/>
        <v>1.21</v>
      </c>
      <c r="AC60" s="54">
        <f t="shared" si="38"/>
        <v>0</v>
      </c>
      <c r="AD60" s="55">
        <f t="shared" si="29"/>
        <v>0</v>
      </c>
      <c r="AE60" s="47">
        <v>44</v>
      </c>
    </row>
    <row r="61" spans="1:31" ht="15" x14ac:dyDescent="0.25">
      <c r="A61" s="45">
        <v>45</v>
      </c>
      <c r="B61" s="115">
        <f t="shared" si="39"/>
        <v>0</v>
      </c>
      <c r="C61" s="116">
        <f t="shared" si="40"/>
        <v>18</v>
      </c>
      <c r="D61" s="104"/>
      <c r="E61" s="117">
        <f t="shared" si="30"/>
        <v>0</v>
      </c>
      <c r="F61" s="118">
        <f t="shared" si="24"/>
        <v>9</v>
      </c>
      <c r="G61" s="116">
        <f t="shared" si="25"/>
        <v>550</v>
      </c>
      <c r="H61" s="104"/>
      <c r="I61" s="119">
        <f t="shared" si="41"/>
        <v>4.8</v>
      </c>
      <c r="J61" s="120">
        <f t="shared" si="42"/>
        <v>9.6000000000000002E-2</v>
      </c>
      <c r="K61" s="121">
        <f t="shared" si="26"/>
        <v>2.350000000000001</v>
      </c>
      <c r="L61" s="108"/>
      <c r="M61" s="122">
        <f t="shared" si="31"/>
        <v>423</v>
      </c>
      <c r="N61" s="122">
        <f t="shared" si="32"/>
        <v>23.5</v>
      </c>
      <c r="O61" s="123">
        <f t="shared" si="43"/>
        <v>3345.1</v>
      </c>
      <c r="P61" s="124">
        <f t="shared" si="33"/>
        <v>1.1150333333333333</v>
      </c>
      <c r="Q61" s="125">
        <f t="shared" si="20"/>
        <v>142</v>
      </c>
      <c r="R61" s="126">
        <f t="shared" si="21"/>
        <v>0.26</v>
      </c>
      <c r="S61" s="127">
        <f t="shared" si="16"/>
        <v>160</v>
      </c>
      <c r="T61" s="128">
        <f t="shared" si="22"/>
        <v>0.28999999999999998</v>
      </c>
      <c r="U61" s="111"/>
      <c r="V61" s="129">
        <f t="shared" si="34"/>
        <v>505.72</v>
      </c>
      <c r="W61" s="130">
        <f t="shared" si="27"/>
        <v>3850.82</v>
      </c>
      <c r="X61" s="131">
        <f t="shared" si="28"/>
        <v>0.15</v>
      </c>
      <c r="Y61" s="132">
        <f t="shared" si="35"/>
        <v>0.17</v>
      </c>
      <c r="Z61" s="113"/>
      <c r="AA61" s="133">
        <f t="shared" si="36"/>
        <v>-850.82</v>
      </c>
      <c r="AB61" s="134">
        <f t="shared" si="37"/>
        <v>1.28</v>
      </c>
      <c r="AC61" s="135">
        <f t="shared" si="38"/>
        <v>0</v>
      </c>
      <c r="AD61" s="136">
        <f t="shared" si="29"/>
        <v>0</v>
      </c>
      <c r="AE61" s="47">
        <v>45</v>
      </c>
    </row>
    <row r="62" spans="1:31" ht="15" x14ac:dyDescent="0.25">
      <c r="A62" s="45">
        <v>46</v>
      </c>
      <c r="B62" s="15">
        <f t="shared" si="39"/>
        <v>0</v>
      </c>
      <c r="C62" s="82">
        <f t="shared" si="40"/>
        <v>18</v>
      </c>
      <c r="D62" s="104"/>
      <c r="E62" s="92">
        <f t="shared" si="30"/>
        <v>0</v>
      </c>
      <c r="F62" s="14">
        <f t="shared" si="24"/>
        <v>9</v>
      </c>
      <c r="G62" s="84">
        <f t="shared" si="25"/>
        <v>559</v>
      </c>
      <c r="H62" s="104"/>
      <c r="I62" s="94">
        <f t="shared" si="41"/>
        <v>4.9000000000000004</v>
      </c>
      <c r="J62" s="17">
        <f t="shared" si="42"/>
        <v>9.8000000000000004E-2</v>
      </c>
      <c r="K62" s="85">
        <f t="shared" si="26"/>
        <v>2.4500000000000011</v>
      </c>
      <c r="L62" s="108"/>
      <c r="M62" s="41">
        <f t="shared" si="31"/>
        <v>441</v>
      </c>
      <c r="N62" s="41">
        <f t="shared" si="32"/>
        <v>24.5</v>
      </c>
      <c r="O62" s="62">
        <f t="shared" si="43"/>
        <v>3556.6</v>
      </c>
      <c r="P62" s="65">
        <f t="shared" si="33"/>
        <v>1.1855333333333333</v>
      </c>
      <c r="Q62" s="19">
        <f t="shared" si="20"/>
        <v>145</v>
      </c>
      <c r="R62" s="20">
        <f t="shared" si="21"/>
        <v>0.26</v>
      </c>
      <c r="S62" s="23">
        <f t="shared" si="16"/>
        <v>163</v>
      </c>
      <c r="T62" s="87">
        <f t="shared" si="22"/>
        <v>0.28999999999999998</v>
      </c>
      <c r="U62" s="111"/>
      <c r="V62" s="96">
        <f t="shared" si="34"/>
        <v>527.24</v>
      </c>
      <c r="W62" s="43">
        <f t="shared" si="27"/>
        <v>4083.84</v>
      </c>
      <c r="X62" s="60">
        <f t="shared" si="28"/>
        <v>0.15</v>
      </c>
      <c r="Y62" s="90">
        <f t="shared" si="35"/>
        <v>0.18</v>
      </c>
      <c r="Z62" s="113"/>
      <c r="AA62" s="98">
        <f t="shared" si="36"/>
        <v>-1083.8399999999999</v>
      </c>
      <c r="AB62" s="58">
        <f t="shared" si="37"/>
        <v>1.36</v>
      </c>
      <c r="AC62" s="54">
        <f t="shared" si="38"/>
        <v>0</v>
      </c>
      <c r="AD62" s="55">
        <f t="shared" si="29"/>
        <v>0</v>
      </c>
      <c r="AE62" s="47">
        <v>46</v>
      </c>
    </row>
    <row r="63" spans="1:31" ht="15" x14ac:dyDescent="0.25">
      <c r="A63" s="45">
        <v>47</v>
      </c>
      <c r="B63" s="15">
        <f t="shared" si="39"/>
        <v>0</v>
      </c>
      <c r="C63" s="82">
        <f t="shared" si="40"/>
        <v>18</v>
      </c>
      <c r="D63" s="104"/>
      <c r="E63" s="92">
        <f t="shared" si="30"/>
        <v>0</v>
      </c>
      <c r="F63" s="14">
        <f t="shared" si="24"/>
        <v>9</v>
      </c>
      <c r="G63" s="84">
        <f t="shared" si="25"/>
        <v>568</v>
      </c>
      <c r="H63" s="104"/>
      <c r="I63" s="94">
        <f t="shared" si="41"/>
        <v>5</v>
      </c>
      <c r="J63" s="17">
        <f t="shared" si="42"/>
        <v>0.1</v>
      </c>
      <c r="K63" s="85">
        <f t="shared" si="26"/>
        <v>2.5500000000000012</v>
      </c>
      <c r="L63" s="108"/>
      <c r="M63" s="41">
        <f t="shared" si="31"/>
        <v>459</v>
      </c>
      <c r="N63" s="41">
        <f t="shared" si="32"/>
        <v>25.5</v>
      </c>
      <c r="O63" s="62">
        <f t="shared" si="43"/>
        <v>3777.1</v>
      </c>
      <c r="P63" s="65">
        <f t="shared" si="33"/>
        <v>1.2590333333333332</v>
      </c>
      <c r="Q63" s="19">
        <f t="shared" si="20"/>
        <v>148</v>
      </c>
      <c r="R63" s="20">
        <f t="shared" si="21"/>
        <v>0.26</v>
      </c>
      <c r="S63" s="23">
        <f t="shared" si="16"/>
        <v>166</v>
      </c>
      <c r="T63" s="87">
        <f t="shared" si="22"/>
        <v>0.28999999999999998</v>
      </c>
      <c r="U63" s="111"/>
      <c r="V63" s="96">
        <f t="shared" si="34"/>
        <v>548.76</v>
      </c>
      <c r="W63" s="43">
        <f t="shared" si="27"/>
        <v>4325.8599999999997</v>
      </c>
      <c r="X63" s="60">
        <f t="shared" si="28"/>
        <v>0.15</v>
      </c>
      <c r="Y63" s="90">
        <f t="shared" si="35"/>
        <v>0.18</v>
      </c>
      <c r="Z63" s="113"/>
      <c r="AA63" s="98">
        <f t="shared" si="36"/>
        <v>-1325.86</v>
      </c>
      <c r="AB63" s="58">
        <f t="shared" si="37"/>
        <v>1.44</v>
      </c>
      <c r="AC63" s="54">
        <f t="shared" si="38"/>
        <v>0</v>
      </c>
      <c r="AD63" s="55">
        <f t="shared" si="29"/>
        <v>0</v>
      </c>
      <c r="AE63" s="47">
        <v>47</v>
      </c>
    </row>
    <row r="64" spans="1:31" ht="15" x14ac:dyDescent="0.25">
      <c r="A64" s="45">
        <v>48</v>
      </c>
      <c r="B64" s="15">
        <f t="shared" si="39"/>
        <v>0</v>
      </c>
      <c r="C64" s="82">
        <f t="shared" si="40"/>
        <v>18</v>
      </c>
      <c r="D64" s="104"/>
      <c r="E64" s="92">
        <f t="shared" si="30"/>
        <v>0</v>
      </c>
      <c r="F64" s="14">
        <f t="shared" si="24"/>
        <v>9</v>
      </c>
      <c r="G64" s="84">
        <f t="shared" si="25"/>
        <v>577</v>
      </c>
      <c r="H64" s="104"/>
      <c r="I64" s="94">
        <f t="shared" si="41"/>
        <v>5.0999999999999996</v>
      </c>
      <c r="J64" s="17">
        <f t="shared" si="42"/>
        <v>0.10199999999999999</v>
      </c>
      <c r="K64" s="85">
        <f t="shared" si="26"/>
        <v>2.6500000000000012</v>
      </c>
      <c r="L64" s="108"/>
      <c r="M64" s="41">
        <f t="shared" si="31"/>
        <v>477</v>
      </c>
      <c r="N64" s="41">
        <f t="shared" si="32"/>
        <v>26.5</v>
      </c>
      <c r="O64" s="62">
        <f t="shared" si="43"/>
        <v>4006.6</v>
      </c>
      <c r="P64" s="65">
        <f t="shared" si="33"/>
        <v>1.3355333333333332</v>
      </c>
      <c r="Q64" s="19">
        <f t="shared" si="20"/>
        <v>151</v>
      </c>
      <c r="R64" s="20">
        <f t="shared" si="21"/>
        <v>0.26</v>
      </c>
      <c r="S64" s="23">
        <f t="shared" si="16"/>
        <v>169</v>
      </c>
      <c r="T64" s="87">
        <f t="shared" si="22"/>
        <v>0.28999999999999998</v>
      </c>
      <c r="U64" s="111"/>
      <c r="V64" s="96">
        <f t="shared" si="34"/>
        <v>570.28</v>
      </c>
      <c r="W64" s="43">
        <f t="shared" si="27"/>
        <v>4576.88</v>
      </c>
      <c r="X64" s="60">
        <f t="shared" si="28"/>
        <v>0.14000000000000001</v>
      </c>
      <c r="Y64" s="90">
        <f t="shared" si="35"/>
        <v>0.19</v>
      </c>
      <c r="Z64" s="113"/>
      <c r="AA64" s="98">
        <f t="shared" si="36"/>
        <v>-1576.88</v>
      </c>
      <c r="AB64" s="58">
        <f t="shared" si="37"/>
        <v>1.53</v>
      </c>
      <c r="AC64" s="54">
        <f t="shared" si="38"/>
        <v>0</v>
      </c>
      <c r="AD64" s="55">
        <f t="shared" si="29"/>
        <v>0</v>
      </c>
      <c r="AE64" s="47">
        <v>48</v>
      </c>
    </row>
    <row r="65" spans="1:31" ht="15" x14ac:dyDescent="0.25">
      <c r="A65" s="45">
        <v>49</v>
      </c>
      <c r="B65" s="15">
        <f t="shared" si="39"/>
        <v>0</v>
      </c>
      <c r="C65" s="82">
        <f t="shared" si="40"/>
        <v>18</v>
      </c>
      <c r="D65" s="104"/>
      <c r="E65" s="92">
        <f t="shared" si="30"/>
        <v>0</v>
      </c>
      <c r="F65" s="14">
        <f t="shared" si="24"/>
        <v>9</v>
      </c>
      <c r="G65" s="84">
        <f t="shared" si="25"/>
        <v>586</v>
      </c>
      <c r="H65" s="104"/>
      <c r="I65" s="94">
        <f t="shared" si="41"/>
        <v>5.2</v>
      </c>
      <c r="J65" s="17">
        <f t="shared" si="42"/>
        <v>0.104</v>
      </c>
      <c r="K65" s="85">
        <f t="shared" si="26"/>
        <v>2.7500000000000013</v>
      </c>
      <c r="L65" s="108"/>
      <c r="M65" s="41">
        <f t="shared" si="31"/>
        <v>495</v>
      </c>
      <c r="N65" s="41">
        <f t="shared" si="32"/>
        <v>27.5</v>
      </c>
      <c r="O65" s="62">
        <f t="shared" si="43"/>
        <v>4245.1000000000004</v>
      </c>
      <c r="P65" s="65">
        <f t="shared" si="33"/>
        <v>1.4150333333333334</v>
      </c>
      <c r="Q65" s="19">
        <f t="shared" si="20"/>
        <v>154</v>
      </c>
      <c r="R65" s="20">
        <f t="shared" si="21"/>
        <v>0.26</v>
      </c>
      <c r="S65" s="23">
        <f t="shared" si="16"/>
        <v>172</v>
      </c>
      <c r="T65" s="87">
        <f t="shared" si="22"/>
        <v>0.28999999999999998</v>
      </c>
      <c r="U65" s="111"/>
      <c r="V65" s="96">
        <f t="shared" si="34"/>
        <v>591.79999999999995</v>
      </c>
      <c r="W65" s="43">
        <f t="shared" si="27"/>
        <v>4836.8999999999996</v>
      </c>
      <c r="X65" s="60">
        <f t="shared" si="28"/>
        <v>0.14000000000000001</v>
      </c>
      <c r="Y65" s="90">
        <f t="shared" si="35"/>
        <v>0.2</v>
      </c>
      <c r="Z65" s="113"/>
      <c r="AA65" s="98">
        <f t="shared" si="36"/>
        <v>-1836.9</v>
      </c>
      <c r="AB65" s="58">
        <f t="shared" si="37"/>
        <v>1.61</v>
      </c>
      <c r="AC65" s="54">
        <f t="shared" si="38"/>
        <v>0</v>
      </c>
      <c r="AD65" s="55">
        <f t="shared" si="29"/>
        <v>0</v>
      </c>
      <c r="AE65" s="47">
        <v>49</v>
      </c>
    </row>
    <row r="66" spans="1:31" ht="15" x14ac:dyDescent="0.25">
      <c r="A66" s="45">
        <v>50</v>
      </c>
      <c r="B66" s="115">
        <f t="shared" si="39"/>
        <v>0</v>
      </c>
      <c r="C66" s="116">
        <f t="shared" si="40"/>
        <v>18</v>
      </c>
      <c r="D66" s="104"/>
      <c r="E66" s="117">
        <f t="shared" si="30"/>
        <v>0</v>
      </c>
      <c r="F66" s="118">
        <f t="shared" si="24"/>
        <v>9</v>
      </c>
      <c r="G66" s="116">
        <f t="shared" si="25"/>
        <v>595</v>
      </c>
      <c r="H66" s="104"/>
      <c r="I66" s="119">
        <f t="shared" si="41"/>
        <v>5.3</v>
      </c>
      <c r="J66" s="120">
        <f t="shared" si="42"/>
        <v>0.106</v>
      </c>
      <c r="K66" s="121">
        <f t="shared" si="26"/>
        <v>2.8600000000000012</v>
      </c>
      <c r="L66" s="108"/>
      <c r="M66" s="122">
        <f t="shared" si="31"/>
        <v>514.79999999999995</v>
      </c>
      <c r="N66" s="122">
        <f t="shared" si="32"/>
        <v>28.6</v>
      </c>
      <c r="O66" s="123">
        <f t="shared" si="43"/>
        <v>4492.6000000000004</v>
      </c>
      <c r="P66" s="124">
        <f t="shared" si="33"/>
        <v>1.4975333333333334</v>
      </c>
      <c r="Q66" s="125">
        <f t="shared" si="20"/>
        <v>157</v>
      </c>
      <c r="R66" s="126">
        <f t="shared" si="21"/>
        <v>0.26</v>
      </c>
      <c r="S66" s="127">
        <f t="shared" si="16"/>
        <v>175</v>
      </c>
      <c r="T66" s="128">
        <f t="shared" si="22"/>
        <v>0.28999999999999998</v>
      </c>
      <c r="U66" s="111"/>
      <c r="V66" s="129">
        <f t="shared" si="34"/>
        <v>615.47</v>
      </c>
      <c r="W66" s="130">
        <f t="shared" si="27"/>
        <v>5108.07</v>
      </c>
      <c r="X66" s="131">
        <f t="shared" si="28"/>
        <v>0.14000000000000001</v>
      </c>
      <c r="Y66" s="132">
        <f t="shared" si="35"/>
        <v>0.21</v>
      </c>
      <c r="Z66" s="113"/>
      <c r="AA66" s="133">
        <f t="shared" si="36"/>
        <v>-2108.0700000000002</v>
      </c>
      <c r="AB66" s="134">
        <f t="shared" si="37"/>
        <v>1.7</v>
      </c>
      <c r="AC66" s="135">
        <f t="shared" si="38"/>
        <v>0</v>
      </c>
      <c r="AD66" s="136">
        <f t="shared" si="29"/>
        <v>0</v>
      </c>
      <c r="AE66" s="47">
        <v>50</v>
      </c>
    </row>
    <row r="67" spans="1:31" ht="15" x14ac:dyDescent="0.25">
      <c r="A67" s="45">
        <v>51</v>
      </c>
      <c r="B67" s="15">
        <f t="shared" si="39"/>
        <v>0</v>
      </c>
      <c r="C67" s="82">
        <f t="shared" si="40"/>
        <v>18</v>
      </c>
      <c r="D67" s="104"/>
      <c r="E67" s="92">
        <f t="shared" si="30"/>
        <v>0</v>
      </c>
      <c r="F67" s="14">
        <f t="shared" si="24"/>
        <v>9</v>
      </c>
      <c r="G67" s="84">
        <f t="shared" si="25"/>
        <v>604</v>
      </c>
      <c r="H67" s="104"/>
      <c r="I67" s="94">
        <f t="shared" si="41"/>
        <v>5.4</v>
      </c>
      <c r="J67" s="17">
        <f t="shared" si="42"/>
        <v>0.108</v>
      </c>
      <c r="K67" s="85">
        <f t="shared" si="26"/>
        <v>2.9700000000000011</v>
      </c>
      <c r="L67" s="108"/>
      <c r="M67" s="41">
        <f t="shared" si="31"/>
        <v>534.6</v>
      </c>
      <c r="N67" s="41">
        <f t="shared" si="32"/>
        <v>29.7</v>
      </c>
      <c r="O67" s="62">
        <f t="shared" si="43"/>
        <v>4750</v>
      </c>
      <c r="P67" s="65">
        <f t="shared" si="33"/>
        <v>1.5833333333333333</v>
      </c>
      <c r="Q67" s="19">
        <f t="shared" si="20"/>
        <v>160</v>
      </c>
      <c r="R67" s="20">
        <f t="shared" si="21"/>
        <v>0.26</v>
      </c>
      <c r="S67" s="23">
        <f t="shared" si="16"/>
        <v>178</v>
      </c>
      <c r="T67" s="87">
        <f t="shared" si="22"/>
        <v>0.28999999999999998</v>
      </c>
      <c r="U67" s="111"/>
      <c r="V67" s="96">
        <f t="shared" si="34"/>
        <v>639.14</v>
      </c>
      <c r="W67" s="43">
        <f t="shared" si="27"/>
        <v>5389.14</v>
      </c>
      <c r="X67" s="60">
        <f t="shared" si="28"/>
        <v>0.13</v>
      </c>
      <c r="Y67" s="90">
        <f t="shared" si="35"/>
        <v>0.21</v>
      </c>
      <c r="Z67" s="113"/>
      <c r="AA67" s="98">
        <f t="shared" si="36"/>
        <v>-2389.14</v>
      </c>
      <c r="AB67" s="58">
        <f t="shared" si="37"/>
        <v>1.8</v>
      </c>
      <c r="AC67" s="54">
        <f t="shared" si="38"/>
        <v>0</v>
      </c>
      <c r="AD67" s="55">
        <f t="shared" si="29"/>
        <v>0</v>
      </c>
      <c r="AE67" s="47">
        <v>51</v>
      </c>
    </row>
    <row r="68" spans="1:31" ht="15" x14ac:dyDescent="0.25">
      <c r="A68" s="45">
        <v>52</v>
      </c>
      <c r="B68" s="15">
        <f t="shared" si="39"/>
        <v>0</v>
      </c>
      <c r="C68" s="82">
        <f t="shared" si="40"/>
        <v>18</v>
      </c>
      <c r="D68" s="104"/>
      <c r="E68" s="92">
        <f t="shared" si="30"/>
        <v>0</v>
      </c>
      <c r="F68" s="14">
        <f t="shared" si="24"/>
        <v>9</v>
      </c>
      <c r="G68" s="84">
        <f t="shared" si="25"/>
        <v>613</v>
      </c>
      <c r="H68" s="104"/>
      <c r="I68" s="94">
        <f t="shared" si="41"/>
        <v>5.5</v>
      </c>
      <c r="J68" s="17">
        <f t="shared" si="42"/>
        <v>0.11</v>
      </c>
      <c r="K68" s="85">
        <f t="shared" si="26"/>
        <v>3.080000000000001</v>
      </c>
      <c r="L68" s="108"/>
      <c r="M68" s="41">
        <f t="shared" si="31"/>
        <v>554.4</v>
      </c>
      <c r="N68" s="41">
        <f t="shared" si="32"/>
        <v>30.8</v>
      </c>
      <c r="O68" s="62">
        <f t="shared" si="43"/>
        <v>5017.3</v>
      </c>
      <c r="P68" s="65">
        <f t="shared" si="33"/>
        <v>1.6724333333333334</v>
      </c>
      <c r="Q68" s="19">
        <f t="shared" si="20"/>
        <v>163</v>
      </c>
      <c r="R68" s="20">
        <f t="shared" si="21"/>
        <v>0.27</v>
      </c>
      <c r="S68" s="23">
        <f t="shared" si="16"/>
        <v>181</v>
      </c>
      <c r="T68" s="87">
        <f t="shared" si="22"/>
        <v>0.3</v>
      </c>
      <c r="U68" s="111"/>
      <c r="V68" s="96">
        <f t="shared" si="34"/>
        <v>662.82</v>
      </c>
      <c r="W68" s="43">
        <f t="shared" si="27"/>
        <v>5680.12</v>
      </c>
      <c r="X68" s="60">
        <f t="shared" si="28"/>
        <v>0.13</v>
      </c>
      <c r="Y68" s="90">
        <f t="shared" si="35"/>
        <v>0.22</v>
      </c>
      <c r="Z68" s="113"/>
      <c r="AA68" s="98">
        <f t="shared" si="36"/>
        <v>-2680.12</v>
      </c>
      <c r="AB68" s="58">
        <f t="shared" si="37"/>
        <v>1.89</v>
      </c>
      <c r="AC68" s="54">
        <f t="shared" si="38"/>
        <v>0</v>
      </c>
      <c r="AD68" s="55">
        <f t="shared" si="29"/>
        <v>0</v>
      </c>
      <c r="AE68" s="47">
        <v>52</v>
      </c>
    </row>
    <row r="69" spans="1:31" ht="15" x14ac:dyDescent="0.25">
      <c r="A69" s="45">
        <v>53</v>
      </c>
      <c r="B69" s="15">
        <f t="shared" si="39"/>
        <v>0</v>
      </c>
      <c r="C69" s="82">
        <f t="shared" si="40"/>
        <v>18</v>
      </c>
      <c r="D69" s="104"/>
      <c r="E69" s="92">
        <f t="shared" si="30"/>
        <v>0</v>
      </c>
      <c r="F69" s="14">
        <f t="shared" si="24"/>
        <v>9</v>
      </c>
      <c r="G69" s="84">
        <f t="shared" si="25"/>
        <v>622</v>
      </c>
      <c r="H69" s="104"/>
      <c r="I69" s="94">
        <f t="shared" si="41"/>
        <v>5.6</v>
      </c>
      <c r="J69" s="17">
        <f t="shared" si="42"/>
        <v>0.112</v>
      </c>
      <c r="K69" s="85">
        <f t="shared" si="26"/>
        <v>3.1900000000000008</v>
      </c>
      <c r="L69" s="108"/>
      <c r="M69" s="41">
        <f t="shared" si="31"/>
        <v>574.20000000000005</v>
      </c>
      <c r="N69" s="41">
        <f t="shared" si="32"/>
        <v>31.9</v>
      </c>
      <c r="O69" s="62">
        <f t="shared" si="43"/>
        <v>5294.5</v>
      </c>
      <c r="P69" s="65">
        <f t="shared" si="33"/>
        <v>1.7648333333333333</v>
      </c>
      <c r="Q69" s="19">
        <f t="shared" si="20"/>
        <v>166</v>
      </c>
      <c r="R69" s="20">
        <f t="shared" si="21"/>
        <v>0.27</v>
      </c>
      <c r="S69" s="23">
        <f t="shared" si="16"/>
        <v>184</v>
      </c>
      <c r="T69" s="87">
        <f t="shared" si="22"/>
        <v>0.3</v>
      </c>
      <c r="U69" s="111"/>
      <c r="V69" s="96">
        <f t="shared" si="34"/>
        <v>686.49</v>
      </c>
      <c r="W69" s="43">
        <f t="shared" si="27"/>
        <v>5980.99</v>
      </c>
      <c r="X69" s="60">
        <f t="shared" si="28"/>
        <v>0.13</v>
      </c>
      <c r="Y69" s="90">
        <f t="shared" si="35"/>
        <v>0.23</v>
      </c>
      <c r="Z69" s="113"/>
      <c r="AA69" s="98">
        <f t="shared" si="36"/>
        <v>-2980.99</v>
      </c>
      <c r="AB69" s="58">
        <f t="shared" si="37"/>
        <v>1.99</v>
      </c>
      <c r="AC69" s="54">
        <f t="shared" si="38"/>
        <v>0</v>
      </c>
      <c r="AD69" s="55">
        <f t="shared" si="29"/>
        <v>0</v>
      </c>
      <c r="AE69" s="47">
        <v>53</v>
      </c>
    </row>
    <row r="70" spans="1:31" ht="15" x14ac:dyDescent="0.25">
      <c r="A70" s="45">
        <v>54</v>
      </c>
      <c r="B70" s="15">
        <f t="shared" si="39"/>
        <v>0</v>
      </c>
      <c r="C70" s="82">
        <f t="shared" si="40"/>
        <v>18</v>
      </c>
      <c r="D70" s="104"/>
      <c r="E70" s="92">
        <f t="shared" si="30"/>
        <v>0</v>
      </c>
      <c r="F70" s="14">
        <f t="shared" si="24"/>
        <v>9</v>
      </c>
      <c r="G70" s="84">
        <f t="shared" si="25"/>
        <v>631</v>
      </c>
      <c r="H70" s="104"/>
      <c r="I70" s="94">
        <f t="shared" si="41"/>
        <v>5.7</v>
      </c>
      <c r="J70" s="17">
        <f t="shared" si="42"/>
        <v>0.114</v>
      </c>
      <c r="K70" s="85">
        <f t="shared" si="26"/>
        <v>3.3000000000000007</v>
      </c>
      <c r="L70" s="108"/>
      <c r="M70" s="41">
        <f t="shared" si="31"/>
        <v>594</v>
      </c>
      <c r="N70" s="41">
        <f t="shared" si="32"/>
        <v>33</v>
      </c>
      <c r="O70" s="62">
        <f t="shared" si="43"/>
        <v>5581.6</v>
      </c>
      <c r="P70" s="65">
        <f t="shared" si="33"/>
        <v>1.8605333333333334</v>
      </c>
      <c r="Q70" s="19">
        <f t="shared" si="20"/>
        <v>169</v>
      </c>
      <c r="R70" s="20">
        <f t="shared" si="21"/>
        <v>0.27</v>
      </c>
      <c r="S70" s="23">
        <f t="shared" si="16"/>
        <v>187</v>
      </c>
      <c r="T70" s="87">
        <f t="shared" si="22"/>
        <v>0.3</v>
      </c>
      <c r="U70" s="111"/>
      <c r="V70" s="96">
        <f t="shared" si="34"/>
        <v>710.16</v>
      </c>
      <c r="W70" s="43">
        <f t="shared" si="27"/>
        <v>6291.76</v>
      </c>
      <c r="X70" s="60">
        <f t="shared" si="28"/>
        <v>0.13</v>
      </c>
      <c r="Y70" s="90">
        <f t="shared" si="35"/>
        <v>0.24</v>
      </c>
      <c r="Z70" s="113"/>
      <c r="AA70" s="98">
        <f t="shared" si="36"/>
        <v>-3291.76</v>
      </c>
      <c r="AB70" s="58">
        <f t="shared" si="37"/>
        <v>2.1</v>
      </c>
      <c r="AC70" s="54">
        <f t="shared" si="38"/>
        <v>0</v>
      </c>
      <c r="AD70" s="55">
        <f t="shared" si="29"/>
        <v>0</v>
      </c>
      <c r="AE70" s="47">
        <v>54</v>
      </c>
    </row>
    <row r="71" spans="1:31" ht="15" x14ac:dyDescent="0.25">
      <c r="A71" s="45">
        <v>55</v>
      </c>
      <c r="B71" s="115">
        <f t="shared" si="39"/>
        <v>0</v>
      </c>
      <c r="C71" s="116">
        <f t="shared" si="40"/>
        <v>18</v>
      </c>
      <c r="D71" s="104"/>
      <c r="E71" s="117">
        <f t="shared" si="30"/>
        <v>0</v>
      </c>
      <c r="F71" s="118">
        <f t="shared" si="24"/>
        <v>9</v>
      </c>
      <c r="G71" s="116">
        <f t="shared" si="25"/>
        <v>640</v>
      </c>
      <c r="H71" s="104"/>
      <c r="I71" s="119">
        <f t="shared" si="41"/>
        <v>5.8</v>
      </c>
      <c r="J71" s="120">
        <f t="shared" si="42"/>
        <v>0.11600000000000001</v>
      </c>
      <c r="K71" s="121">
        <f t="shared" si="26"/>
        <v>3.4200000000000008</v>
      </c>
      <c r="L71" s="108"/>
      <c r="M71" s="122">
        <f t="shared" si="31"/>
        <v>615.6</v>
      </c>
      <c r="N71" s="122">
        <f t="shared" si="32"/>
        <v>34.200000000000003</v>
      </c>
      <c r="O71" s="123">
        <f t="shared" si="43"/>
        <v>5878.6</v>
      </c>
      <c r="P71" s="124">
        <f t="shared" si="33"/>
        <v>1.9595333333333333</v>
      </c>
      <c r="Q71" s="125">
        <f t="shared" si="20"/>
        <v>172</v>
      </c>
      <c r="R71" s="126">
        <f t="shared" si="21"/>
        <v>0.27</v>
      </c>
      <c r="S71" s="127">
        <f t="shared" si="16"/>
        <v>190</v>
      </c>
      <c r="T71" s="128">
        <f t="shared" si="22"/>
        <v>0.3</v>
      </c>
      <c r="U71" s="111"/>
      <c r="V71" s="129">
        <f t="shared" si="34"/>
        <v>735.98</v>
      </c>
      <c r="W71" s="130">
        <f t="shared" si="27"/>
        <v>6614.58</v>
      </c>
      <c r="X71" s="131">
        <f t="shared" si="28"/>
        <v>0.13</v>
      </c>
      <c r="Y71" s="132">
        <f t="shared" si="35"/>
        <v>0.25</v>
      </c>
      <c r="Z71" s="113"/>
      <c r="AA71" s="133">
        <f t="shared" si="36"/>
        <v>-3614.58</v>
      </c>
      <c r="AB71" s="134">
        <f t="shared" si="37"/>
        <v>2.2000000000000002</v>
      </c>
      <c r="AC71" s="135">
        <f t="shared" si="38"/>
        <v>0</v>
      </c>
      <c r="AD71" s="136">
        <f t="shared" si="29"/>
        <v>0</v>
      </c>
      <c r="AE71" s="47">
        <v>55</v>
      </c>
    </row>
    <row r="72" spans="1:31" ht="15" x14ac:dyDescent="0.25">
      <c r="A72" s="45">
        <v>56</v>
      </c>
      <c r="B72" s="15">
        <f t="shared" si="39"/>
        <v>0</v>
      </c>
      <c r="C72" s="82">
        <f t="shared" si="40"/>
        <v>18</v>
      </c>
      <c r="D72" s="104"/>
      <c r="E72" s="92">
        <f t="shared" si="30"/>
        <v>0</v>
      </c>
      <c r="F72" s="14">
        <f t="shared" si="24"/>
        <v>9</v>
      </c>
      <c r="G72" s="84">
        <f t="shared" si="25"/>
        <v>649</v>
      </c>
      <c r="H72" s="104"/>
      <c r="I72" s="94">
        <f t="shared" si="41"/>
        <v>5.9</v>
      </c>
      <c r="J72" s="17">
        <f t="shared" si="42"/>
        <v>0.11799999999999999</v>
      </c>
      <c r="K72" s="85">
        <f t="shared" si="26"/>
        <v>3.5400000000000009</v>
      </c>
      <c r="L72" s="108"/>
      <c r="M72" s="41">
        <f t="shared" si="31"/>
        <v>637.20000000000005</v>
      </c>
      <c r="N72" s="41">
        <f t="shared" si="32"/>
        <v>35.4</v>
      </c>
      <c r="O72" s="62">
        <f t="shared" si="43"/>
        <v>6186.4</v>
      </c>
      <c r="P72" s="65">
        <f t="shared" si="33"/>
        <v>2.0621333333333332</v>
      </c>
      <c r="Q72" s="19">
        <f t="shared" si="20"/>
        <v>175</v>
      </c>
      <c r="R72" s="20">
        <f t="shared" si="21"/>
        <v>0.27</v>
      </c>
      <c r="S72" s="23">
        <f t="shared" si="16"/>
        <v>193</v>
      </c>
      <c r="T72" s="87">
        <f t="shared" si="22"/>
        <v>0.3</v>
      </c>
      <c r="U72" s="111"/>
      <c r="V72" s="96">
        <f t="shared" si="34"/>
        <v>761.81</v>
      </c>
      <c r="W72" s="43">
        <f t="shared" si="27"/>
        <v>6948.21</v>
      </c>
      <c r="X72" s="60">
        <f t="shared" si="28"/>
        <v>0.12</v>
      </c>
      <c r="Y72" s="90">
        <f t="shared" si="35"/>
        <v>0.25</v>
      </c>
      <c r="Z72" s="113"/>
      <c r="AA72" s="98">
        <f t="shared" si="36"/>
        <v>-3948.21</v>
      </c>
      <c r="AB72" s="58">
        <f t="shared" si="37"/>
        <v>2.3199999999999998</v>
      </c>
      <c r="AC72" s="54">
        <f t="shared" si="38"/>
        <v>0</v>
      </c>
      <c r="AD72" s="55">
        <f t="shared" si="29"/>
        <v>0</v>
      </c>
      <c r="AE72" s="47">
        <v>56</v>
      </c>
    </row>
    <row r="73" spans="1:31" ht="15" x14ac:dyDescent="0.25">
      <c r="A73" s="45">
        <v>57</v>
      </c>
      <c r="B73" s="15">
        <f t="shared" si="39"/>
        <v>0</v>
      </c>
      <c r="C73" s="82">
        <f t="shared" si="40"/>
        <v>18</v>
      </c>
      <c r="D73" s="104"/>
      <c r="E73" s="92">
        <f t="shared" si="30"/>
        <v>0</v>
      </c>
      <c r="F73" s="14">
        <f t="shared" si="24"/>
        <v>9</v>
      </c>
      <c r="G73" s="84">
        <f t="shared" si="25"/>
        <v>658</v>
      </c>
      <c r="H73" s="104"/>
      <c r="I73" s="94">
        <f t="shared" si="41"/>
        <v>6</v>
      </c>
      <c r="J73" s="17">
        <f t="shared" si="42"/>
        <v>0.12</v>
      </c>
      <c r="K73" s="85">
        <f t="shared" si="26"/>
        <v>3.660000000000001</v>
      </c>
      <c r="L73" s="108"/>
      <c r="M73" s="41">
        <f t="shared" si="31"/>
        <v>658.8</v>
      </c>
      <c r="N73" s="41">
        <f t="shared" si="32"/>
        <v>36.6</v>
      </c>
      <c r="O73" s="62">
        <f t="shared" si="43"/>
        <v>6505</v>
      </c>
      <c r="P73" s="65">
        <f t="shared" si="33"/>
        <v>2.1683333333333334</v>
      </c>
      <c r="Q73" s="19">
        <f t="shared" si="20"/>
        <v>178</v>
      </c>
      <c r="R73" s="20">
        <f t="shared" si="21"/>
        <v>0.27</v>
      </c>
      <c r="S73" s="23">
        <f t="shared" si="16"/>
        <v>196</v>
      </c>
      <c r="T73" s="87">
        <f t="shared" si="22"/>
        <v>0.3</v>
      </c>
      <c r="U73" s="111"/>
      <c r="V73" s="96">
        <f t="shared" si="34"/>
        <v>787.63</v>
      </c>
      <c r="W73" s="43">
        <f t="shared" si="27"/>
        <v>7292.63</v>
      </c>
      <c r="X73" s="60">
        <f t="shared" si="28"/>
        <v>0.12</v>
      </c>
      <c r="Y73" s="90">
        <f t="shared" si="35"/>
        <v>0.26</v>
      </c>
      <c r="Z73" s="113"/>
      <c r="AA73" s="98">
        <f t="shared" si="36"/>
        <v>-4292.63</v>
      </c>
      <c r="AB73" s="58">
        <f t="shared" si="37"/>
        <v>2.4300000000000002</v>
      </c>
      <c r="AC73" s="54">
        <f t="shared" si="38"/>
        <v>0</v>
      </c>
      <c r="AD73" s="55">
        <f t="shared" si="29"/>
        <v>0</v>
      </c>
      <c r="AE73" s="47">
        <v>57</v>
      </c>
    </row>
    <row r="74" spans="1:31" ht="15" x14ac:dyDescent="0.25">
      <c r="A74" s="45">
        <v>58</v>
      </c>
      <c r="B74" s="15">
        <f t="shared" si="39"/>
        <v>0</v>
      </c>
      <c r="C74" s="82">
        <f t="shared" si="40"/>
        <v>18</v>
      </c>
      <c r="D74" s="104"/>
      <c r="E74" s="92">
        <f t="shared" si="30"/>
        <v>0</v>
      </c>
      <c r="F74" s="14">
        <f t="shared" si="24"/>
        <v>9</v>
      </c>
      <c r="G74" s="84">
        <f t="shared" si="25"/>
        <v>667</v>
      </c>
      <c r="H74" s="104"/>
      <c r="I74" s="94">
        <f t="shared" si="41"/>
        <v>6.1</v>
      </c>
      <c r="J74" s="17">
        <f t="shared" si="42"/>
        <v>0.122</v>
      </c>
      <c r="K74" s="85">
        <f t="shared" si="26"/>
        <v>3.7800000000000011</v>
      </c>
      <c r="L74" s="108"/>
      <c r="M74" s="41">
        <f t="shared" si="31"/>
        <v>680.4</v>
      </c>
      <c r="N74" s="41">
        <f t="shared" si="32"/>
        <v>37.799999999999997</v>
      </c>
      <c r="O74" s="62">
        <f t="shared" si="43"/>
        <v>6834.4</v>
      </c>
      <c r="P74" s="65">
        <f t="shared" si="33"/>
        <v>2.2781333333333333</v>
      </c>
      <c r="Q74" s="19">
        <f t="shared" si="20"/>
        <v>181</v>
      </c>
      <c r="R74" s="20">
        <f t="shared" si="21"/>
        <v>0.27</v>
      </c>
      <c r="S74" s="23">
        <f t="shared" si="16"/>
        <v>199</v>
      </c>
      <c r="T74" s="87">
        <f t="shared" si="22"/>
        <v>0.3</v>
      </c>
      <c r="U74" s="111"/>
      <c r="V74" s="96">
        <f t="shared" si="34"/>
        <v>813.46</v>
      </c>
      <c r="W74" s="43">
        <f t="shared" si="27"/>
        <v>7647.86</v>
      </c>
      <c r="X74" s="60">
        <f t="shared" si="28"/>
        <v>0.12</v>
      </c>
      <c r="Y74" s="90">
        <f t="shared" si="35"/>
        <v>0.27</v>
      </c>
      <c r="Z74" s="113"/>
      <c r="AA74" s="98">
        <f t="shared" si="36"/>
        <v>-4647.8599999999997</v>
      </c>
      <c r="AB74" s="58">
        <f t="shared" si="37"/>
        <v>2.5499999999999998</v>
      </c>
      <c r="AC74" s="54">
        <f t="shared" si="38"/>
        <v>0</v>
      </c>
      <c r="AD74" s="55">
        <f t="shared" si="29"/>
        <v>0</v>
      </c>
      <c r="AE74" s="47">
        <v>58</v>
      </c>
    </row>
    <row r="75" spans="1:31" ht="15" x14ac:dyDescent="0.25">
      <c r="A75" s="45">
        <v>59</v>
      </c>
      <c r="B75" s="15">
        <f t="shared" si="39"/>
        <v>0</v>
      </c>
      <c r="C75" s="82">
        <f t="shared" si="40"/>
        <v>18</v>
      </c>
      <c r="D75" s="104"/>
      <c r="E75" s="92">
        <f t="shared" si="30"/>
        <v>0</v>
      </c>
      <c r="F75" s="14">
        <f t="shared" si="24"/>
        <v>9</v>
      </c>
      <c r="G75" s="84">
        <f t="shared" si="25"/>
        <v>676</v>
      </c>
      <c r="H75" s="104"/>
      <c r="I75" s="94">
        <f t="shared" si="41"/>
        <v>6.2</v>
      </c>
      <c r="J75" s="17">
        <f t="shared" si="42"/>
        <v>0.124</v>
      </c>
      <c r="K75" s="85">
        <f t="shared" si="26"/>
        <v>3.9000000000000012</v>
      </c>
      <c r="L75" s="108"/>
      <c r="M75" s="41">
        <f t="shared" si="31"/>
        <v>702</v>
      </c>
      <c r="N75" s="41">
        <f t="shared" si="32"/>
        <v>39</v>
      </c>
      <c r="O75" s="62">
        <f t="shared" si="43"/>
        <v>7174.6</v>
      </c>
      <c r="P75" s="65">
        <f t="shared" si="33"/>
        <v>2.3915333333333333</v>
      </c>
      <c r="Q75" s="19">
        <f t="shared" si="20"/>
        <v>184</v>
      </c>
      <c r="R75" s="20">
        <f t="shared" si="21"/>
        <v>0.27</v>
      </c>
      <c r="S75" s="23">
        <f t="shared" si="16"/>
        <v>202</v>
      </c>
      <c r="T75" s="87">
        <f t="shared" si="22"/>
        <v>0.3</v>
      </c>
      <c r="U75" s="111"/>
      <c r="V75" s="96">
        <f t="shared" si="34"/>
        <v>839.28</v>
      </c>
      <c r="W75" s="43">
        <f t="shared" si="27"/>
        <v>8013.88</v>
      </c>
      <c r="X75" s="60">
        <f t="shared" si="28"/>
        <v>0.12</v>
      </c>
      <c r="Y75" s="90">
        <f t="shared" si="35"/>
        <v>0.28000000000000003</v>
      </c>
      <c r="Z75" s="113"/>
      <c r="AA75" s="98">
        <f t="shared" si="36"/>
        <v>-5013.88</v>
      </c>
      <c r="AB75" s="58">
        <f t="shared" si="37"/>
        <v>2.67</v>
      </c>
      <c r="AC75" s="54">
        <f t="shared" si="38"/>
        <v>0</v>
      </c>
      <c r="AD75" s="55">
        <f t="shared" si="29"/>
        <v>0</v>
      </c>
      <c r="AE75" s="47">
        <v>59</v>
      </c>
    </row>
    <row r="76" spans="1:31" ht="15" x14ac:dyDescent="0.25">
      <c r="A76" s="45">
        <v>60</v>
      </c>
      <c r="B76" s="115">
        <f t="shared" si="39"/>
        <v>0</v>
      </c>
      <c r="C76" s="116">
        <f t="shared" si="40"/>
        <v>18</v>
      </c>
      <c r="D76" s="104"/>
      <c r="E76" s="117">
        <f t="shared" si="30"/>
        <v>0</v>
      </c>
      <c r="F76" s="118">
        <f t="shared" si="24"/>
        <v>9</v>
      </c>
      <c r="G76" s="116">
        <f t="shared" si="25"/>
        <v>685</v>
      </c>
      <c r="H76" s="104"/>
      <c r="I76" s="119">
        <f t="shared" si="41"/>
        <v>6.3</v>
      </c>
      <c r="J76" s="120">
        <f t="shared" si="42"/>
        <v>0.126</v>
      </c>
      <c r="K76" s="121">
        <f t="shared" si="26"/>
        <v>4.0300000000000011</v>
      </c>
      <c r="L76" s="108"/>
      <c r="M76" s="122">
        <f t="shared" si="31"/>
        <v>725.4</v>
      </c>
      <c r="N76" s="122">
        <f t="shared" si="32"/>
        <v>40.299999999999997</v>
      </c>
      <c r="O76" s="123">
        <f t="shared" si="43"/>
        <v>7525.6</v>
      </c>
      <c r="P76" s="124">
        <f t="shared" si="33"/>
        <v>2.5085333333333333</v>
      </c>
      <c r="Q76" s="125">
        <f t="shared" si="20"/>
        <v>187</v>
      </c>
      <c r="R76" s="126">
        <f t="shared" si="21"/>
        <v>0.27</v>
      </c>
      <c r="S76" s="127">
        <f t="shared" si="16"/>
        <v>205</v>
      </c>
      <c r="T76" s="128">
        <f t="shared" si="22"/>
        <v>0.3</v>
      </c>
      <c r="U76" s="111"/>
      <c r="V76" s="129">
        <f t="shared" si="34"/>
        <v>867.26</v>
      </c>
      <c r="W76" s="130">
        <f t="shared" si="27"/>
        <v>8392.86</v>
      </c>
      <c r="X76" s="131">
        <f t="shared" si="28"/>
        <v>0.12</v>
      </c>
      <c r="Y76" s="132">
        <f t="shared" si="35"/>
        <v>0.28999999999999998</v>
      </c>
      <c r="Z76" s="113"/>
      <c r="AA76" s="133">
        <f t="shared" si="36"/>
        <v>-5392.86</v>
      </c>
      <c r="AB76" s="134">
        <f t="shared" si="37"/>
        <v>2.8</v>
      </c>
      <c r="AC76" s="135">
        <f t="shared" si="38"/>
        <v>0</v>
      </c>
      <c r="AD76" s="136">
        <f t="shared" si="29"/>
        <v>0</v>
      </c>
      <c r="AE76" s="47">
        <v>60</v>
      </c>
    </row>
    <row r="77" spans="1:31" ht="15" x14ac:dyDescent="0.25">
      <c r="A77" s="45">
        <v>61</v>
      </c>
      <c r="B77" s="15">
        <f t="shared" si="39"/>
        <v>0</v>
      </c>
      <c r="C77" s="82">
        <f t="shared" si="40"/>
        <v>18</v>
      </c>
      <c r="D77" s="104"/>
      <c r="E77" s="92">
        <f t="shared" si="30"/>
        <v>0</v>
      </c>
      <c r="F77" s="14">
        <f t="shared" si="24"/>
        <v>9</v>
      </c>
      <c r="G77" s="84">
        <f t="shared" si="25"/>
        <v>694</v>
      </c>
      <c r="H77" s="104"/>
      <c r="I77" s="94">
        <f t="shared" si="41"/>
        <v>6.4</v>
      </c>
      <c r="J77" s="17">
        <f t="shared" si="42"/>
        <v>0.128</v>
      </c>
      <c r="K77" s="85">
        <f t="shared" si="26"/>
        <v>4.160000000000001</v>
      </c>
      <c r="L77" s="108"/>
      <c r="M77" s="41">
        <f t="shared" si="31"/>
        <v>748.8</v>
      </c>
      <c r="N77" s="41">
        <f t="shared" si="32"/>
        <v>41.6</v>
      </c>
      <c r="O77" s="62">
        <f t="shared" si="43"/>
        <v>7888.3</v>
      </c>
      <c r="P77" s="65">
        <f t="shared" si="33"/>
        <v>2.6294333333333335</v>
      </c>
      <c r="Q77" s="19">
        <f t="shared" si="20"/>
        <v>190</v>
      </c>
      <c r="R77" s="20">
        <f t="shared" si="21"/>
        <v>0.27</v>
      </c>
      <c r="S77" s="23">
        <f t="shared" si="16"/>
        <v>208</v>
      </c>
      <c r="T77" s="87">
        <f t="shared" si="22"/>
        <v>0.3</v>
      </c>
      <c r="U77" s="111"/>
      <c r="V77" s="96">
        <f t="shared" si="34"/>
        <v>895.23</v>
      </c>
      <c r="W77" s="43">
        <f t="shared" si="27"/>
        <v>8783.5300000000007</v>
      </c>
      <c r="X77" s="60">
        <f t="shared" si="28"/>
        <v>0.11</v>
      </c>
      <c r="Y77" s="90">
        <f t="shared" si="35"/>
        <v>0.3</v>
      </c>
      <c r="Z77" s="113"/>
      <c r="AA77" s="98">
        <f t="shared" si="36"/>
        <v>-5783.53</v>
      </c>
      <c r="AB77" s="58">
        <f t="shared" si="37"/>
        <v>2.93</v>
      </c>
      <c r="AC77" s="54">
        <f t="shared" si="38"/>
        <v>0</v>
      </c>
      <c r="AD77" s="55">
        <f t="shared" si="29"/>
        <v>0</v>
      </c>
      <c r="AE77" s="47">
        <v>61</v>
      </c>
    </row>
    <row r="78" spans="1:31" ht="15" x14ac:dyDescent="0.25">
      <c r="A78" s="45">
        <v>62</v>
      </c>
      <c r="B78" s="15">
        <f t="shared" si="39"/>
        <v>0</v>
      </c>
      <c r="C78" s="82">
        <f t="shared" si="40"/>
        <v>18</v>
      </c>
      <c r="D78" s="104"/>
      <c r="E78" s="92">
        <f t="shared" si="30"/>
        <v>0</v>
      </c>
      <c r="F78" s="14">
        <f t="shared" si="24"/>
        <v>9</v>
      </c>
      <c r="G78" s="84">
        <f t="shared" si="25"/>
        <v>703</v>
      </c>
      <c r="H78" s="104"/>
      <c r="I78" s="94">
        <f t="shared" si="41"/>
        <v>6.5</v>
      </c>
      <c r="J78" s="17">
        <f t="shared" si="42"/>
        <v>0.13</v>
      </c>
      <c r="K78" s="85">
        <f t="shared" si="26"/>
        <v>4.2900000000000009</v>
      </c>
      <c r="L78" s="108"/>
      <c r="M78" s="41">
        <f t="shared" si="31"/>
        <v>772.2</v>
      </c>
      <c r="N78" s="41">
        <f t="shared" si="32"/>
        <v>42.9</v>
      </c>
      <c r="O78" s="62">
        <f t="shared" si="43"/>
        <v>8262.7000000000007</v>
      </c>
      <c r="P78" s="65">
        <f t="shared" si="33"/>
        <v>2.7542333333333335</v>
      </c>
      <c r="Q78" s="19">
        <f t="shared" si="20"/>
        <v>193</v>
      </c>
      <c r="R78" s="20">
        <f t="shared" si="21"/>
        <v>0.27</v>
      </c>
      <c r="S78" s="23">
        <f t="shared" si="16"/>
        <v>211</v>
      </c>
      <c r="T78" s="87">
        <f t="shared" si="22"/>
        <v>0.3</v>
      </c>
      <c r="U78" s="111"/>
      <c r="V78" s="96">
        <f t="shared" si="34"/>
        <v>923.21</v>
      </c>
      <c r="W78" s="43">
        <f t="shared" si="27"/>
        <v>9185.91</v>
      </c>
      <c r="X78" s="60">
        <f t="shared" si="28"/>
        <v>0.11</v>
      </c>
      <c r="Y78" s="90">
        <f t="shared" si="35"/>
        <v>0.31</v>
      </c>
      <c r="Z78" s="113"/>
      <c r="AA78" s="98">
        <f t="shared" si="36"/>
        <v>-6185.91</v>
      </c>
      <c r="AB78" s="58">
        <f t="shared" si="37"/>
        <v>3.06</v>
      </c>
      <c r="AC78" s="54">
        <f t="shared" si="38"/>
        <v>0</v>
      </c>
      <c r="AD78" s="55">
        <f t="shared" si="29"/>
        <v>0</v>
      </c>
      <c r="AE78" s="47">
        <v>62</v>
      </c>
    </row>
    <row r="79" spans="1:31" ht="15" x14ac:dyDescent="0.25">
      <c r="A79" s="45">
        <v>63</v>
      </c>
      <c r="B79" s="15">
        <f t="shared" si="39"/>
        <v>0</v>
      </c>
      <c r="C79" s="82">
        <f t="shared" si="40"/>
        <v>18</v>
      </c>
      <c r="D79" s="104"/>
      <c r="E79" s="92">
        <f t="shared" si="30"/>
        <v>0</v>
      </c>
      <c r="F79" s="14">
        <f t="shared" si="24"/>
        <v>9</v>
      </c>
      <c r="G79" s="84">
        <f t="shared" si="25"/>
        <v>712</v>
      </c>
      <c r="H79" s="104"/>
      <c r="I79" s="94">
        <f t="shared" si="41"/>
        <v>6.6</v>
      </c>
      <c r="J79" s="17">
        <f t="shared" si="42"/>
        <v>0.13200000000000001</v>
      </c>
      <c r="K79" s="85">
        <f t="shared" si="26"/>
        <v>4.4200000000000008</v>
      </c>
      <c r="L79" s="108"/>
      <c r="M79" s="41">
        <f t="shared" si="31"/>
        <v>795.6</v>
      </c>
      <c r="N79" s="41">
        <f t="shared" si="32"/>
        <v>44.2</v>
      </c>
      <c r="O79" s="62">
        <f t="shared" si="43"/>
        <v>8648.7999999999993</v>
      </c>
      <c r="P79" s="65">
        <f t="shared" si="33"/>
        <v>2.8829333333333329</v>
      </c>
      <c r="Q79" s="19">
        <f t="shared" si="20"/>
        <v>196</v>
      </c>
      <c r="R79" s="20">
        <f t="shared" si="21"/>
        <v>0.28000000000000003</v>
      </c>
      <c r="S79" s="23">
        <f t="shared" si="16"/>
        <v>214</v>
      </c>
      <c r="T79" s="87">
        <f t="shared" si="22"/>
        <v>0.3</v>
      </c>
      <c r="U79" s="111"/>
      <c r="V79" s="96">
        <f t="shared" si="34"/>
        <v>951.18</v>
      </c>
      <c r="W79" s="43">
        <f t="shared" si="27"/>
        <v>9599.98</v>
      </c>
      <c r="X79" s="60">
        <f t="shared" si="28"/>
        <v>0.11</v>
      </c>
      <c r="Y79" s="90">
        <f t="shared" si="35"/>
        <v>0.32</v>
      </c>
      <c r="Z79" s="113"/>
      <c r="AA79" s="98">
        <f t="shared" si="36"/>
        <v>-6599.98</v>
      </c>
      <c r="AB79" s="58">
        <f t="shared" si="37"/>
        <v>3.2</v>
      </c>
      <c r="AC79" s="54">
        <f t="shared" si="38"/>
        <v>0</v>
      </c>
      <c r="AD79" s="55">
        <f t="shared" si="29"/>
        <v>0</v>
      </c>
      <c r="AE79" s="47">
        <v>63</v>
      </c>
    </row>
    <row r="80" spans="1:31" ht="15" x14ac:dyDescent="0.25">
      <c r="A80" s="45">
        <v>64</v>
      </c>
      <c r="B80" s="15">
        <f t="shared" si="39"/>
        <v>0</v>
      </c>
      <c r="C80" s="82">
        <f t="shared" si="40"/>
        <v>18</v>
      </c>
      <c r="D80" s="104"/>
      <c r="E80" s="92">
        <f t="shared" si="30"/>
        <v>0</v>
      </c>
      <c r="F80" s="14">
        <f t="shared" si="24"/>
        <v>9</v>
      </c>
      <c r="G80" s="84">
        <f t="shared" si="25"/>
        <v>721</v>
      </c>
      <c r="H80" s="104"/>
      <c r="I80" s="94">
        <f t="shared" si="41"/>
        <v>6.7</v>
      </c>
      <c r="J80" s="17">
        <f t="shared" si="42"/>
        <v>0.13400000000000001</v>
      </c>
      <c r="K80" s="85">
        <f t="shared" si="26"/>
        <v>4.5500000000000007</v>
      </c>
      <c r="L80" s="108"/>
      <c r="M80" s="41">
        <f t="shared" si="31"/>
        <v>819</v>
      </c>
      <c r="N80" s="41">
        <f t="shared" si="32"/>
        <v>45.5</v>
      </c>
      <c r="O80" s="62">
        <f t="shared" si="43"/>
        <v>9046.6</v>
      </c>
      <c r="P80" s="65">
        <f t="shared" si="33"/>
        <v>3.0155333333333334</v>
      </c>
      <c r="Q80" s="19">
        <f t="shared" si="20"/>
        <v>199</v>
      </c>
      <c r="R80" s="20">
        <f t="shared" si="21"/>
        <v>0.28000000000000003</v>
      </c>
      <c r="S80" s="23">
        <f t="shared" si="16"/>
        <v>217</v>
      </c>
      <c r="T80" s="87">
        <f t="shared" si="22"/>
        <v>0.3</v>
      </c>
      <c r="U80" s="111"/>
      <c r="V80" s="96">
        <f t="shared" si="34"/>
        <v>979.16</v>
      </c>
      <c r="W80" s="43">
        <f t="shared" si="27"/>
        <v>10025.76</v>
      </c>
      <c r="X80" s="60">
        <f t="shared" si="28"/>
        <v>0.11</v>
      </c>
      <c r="Y80" s="90">
        <f t="shared" si="35"/>
        <v>0.33</v>
      </c>
      <c r="Z80" s="113"/>
      <c r="AA80" s="98">
        <f t="shared" si="36"/>
        <v>-7025.76</v>
      </c>
      <c r="AB80" s="58">
        <f t="shared" si="37"/>
        <v>3.34</v>
      </c>
      <c r="AC80" s="54">
        <f t="shared" si="38"/>
        <v>0</v>
      </c>
      <c r="AD80" s="55">
        <f t="shared" si="29"/>
        <v>0</v>
      </c>
      <c r="AE80" s="47">
        <v>64</v>
      </c>
    </row>
    <row r="81" spans="1:31" ht="15" x14ac:dyDescent="0.25">
      <c r="A81" s="45">
        <v>65</v>
      </c>
      <c r="B81" s="115">
        <f t="shared" si="39"/>
        <v>0</v>
      </c>
      <c r="C81" s="116">
        <f t="shared" si="40"/>
        <v>18</v>
      </c>
      <c r="D81" s="104"/>
      <c r="E81" s="117">
        <f t="shared" ref="E81:E116" si="44">IF(OR($A81&lt;2,AND(G$13&gt;0,$A81&gt;G$13)),0,IF(AND($A81&gt;=G$10,G$10&gt;0),G$11,IF(AND($A81&gt;=G$7,G$7&gt;0),G$8,0)))</f>
        <v>0</v>
      </c>
      <c r="F81" s="118">
        <f t="shared" si="24"/>
        <v>9</v>
      </c>
      <c r="G81" s="116">
        <f t="shared" si="25"/>
        <v>730</v>
      </c>
      <c r="H81" s="104"/>
      <c r="I81" s="119">
        <f t="shared" si="41"/>
        <v>6.8</v>
      </c>
      <c r="J81" s="120">
        <f t="shared" si="42"/>
        <v>0.13600000000000001</v>
      </c>
      <c r="K81" s="121">
        <f t="shared" si="26"/>
        <v>4.6900000000000004</v>
      </c>
      <c r="L81" s="108"/>
      <c r="M81" s="122">
        <f t="shared" ref="M81:M112" si="45">ROUND(C81*N81-K81*$O$6,2)</f>
        <v>844.2</v>
      </c>
      <c r="N81" s="122">
        <f t="shared" ref="N81:N116" si="46">ROUND(ROUND(K81,2)*$O$4,2)</f>
        <v>46.9</v>
      </c>
      <c r="O81" s="123">
        <f t="shared" si="43"/>
        <v>9456.1</v>
      </c>
      <c r="P81" s="124">
        <f t="shared" ref="P81:P112" si="47">O81/$O$10</f>
        <v>3.1520333333333332</v>
      </c>
      <c r="Q81" s="125">
        <f t="shared" si="20"/>
        <v>202</v>
      </c>
      <c r="R81" s="126">
        <f t="shared" si="21"/>
        <v>0.28000000000000003</v>
      </c>
      <c r="S81" s="127">
        <f t="shared" si="16"/>
        <v>220</v>
      </c>
      <c r="T81" s="128">
        <f t="shared" si="22"/>
        <v>0.3</v>
      </c>
      <c r="U81" s="111"/>
      <c r="V81" s="129">
        <f t="shared" ref="V81:V116" si="48">ROUND(K81*$O$8,2)</f>
        <v>1009.29</v>
      </c>
      <c r="W81" s="130">
        <f t="shared" si="27"/>
        <v>10465.39</v>
      </c>
      <c r="X81" s="131">
        <f t="shared" si="28"/>
        <v>0.11</v>
      </c>
      <c r="Y81" s="132">
        <f t="shared" ref="Y81:Y116" si="49">IF($O$10&gt;0,ROUND(V81/$O$10,2),0)</f>
        <v>0.34</v>
      </c>
      <c r="Z81" s="113"/>
      <c r="AA81" s="133">
        <f t="shared" ref="AA81:AA116" si="50">IF($O$10&gt;0,ROUND($O$10-W81,2),0)</f>
        <v>-7465.39</v>
      </c>
      <c r="AB81" s="134">
        <f t="shared" ref="AB81:AB116" si="51">IF($O$10&gt;0,ROUND(W81/$O$10,2),0)</f>
        <v>3.49</v>
      </c>
      <c r="AC81" s="135">
        <f t="shared" ref="AC81:AC116" si="52">IF(AND(AA81&gt;0,$O$4&gt;0),($O$10-O81-V81*$O$9)/N81,0)</f>
        <v>0</v>
      </c>
      <c r="AD81" s="136">
        <f t="shared" si="29"/>
        <v>0</v>
      </c>
      <c r="AE81" s="47">
        <v>65</v>
      </c>
    </row>
    <row r="82" spans="1:31" ht="15" x14ac:dyDescent="0.25">
      <c r="A82" s="45">
        <v>66</v>
      </c>
      <c r="B82" s="15">
        <f t="shared" ref="B82:B113" si="53">IF(AND($A82&gt;=C$10,C$10&gt;0),0,IF(AND($A82&gt;=C$7,C$7&gt;0),C$8,0))</f>
        <v>0</v>
      </c>
      <c r="C82" s="82">
        <f t="shared" ref="C82:C113" si="54">IF(AND($A82&gt;=C$10,C$10&gt;0),C$11,C81+B82)</f>
        <v>18</v>
      </c>
      <c r="D82" s="104"/>
      <c r="E82" s="92">
        <f t="shared" si="44"/>
        <v>0</v>
      </c>
      <c r="F82" s="14">
        <f t="shared" si="24"/>
        <v>9</v>
      </c>
      <c r="G82" s="84">
        <f t="shared" si="25"/>
        <v>739</v>
      </c>
      <c r="H82" s="104"/>
      <c r="I82" s="94">
        <f t="shared" ref="I82:I116" si="55">IF(($A82&lt;K$5),1,IF(AND($A82&gt;K$13,K$13&gt;0),I81,IF(AND($A82&gt;=K$10,K$10&gt;0),ROUND(I81+K$11,4),IF(AND($A82&gt;=K$7,K$7&gt;0),ROUND(I81+K$8,4),K$4))))</f>
        <v>6.9</v>
      </c>
      <c r="J82" s="17">
        <f t="shared" ref="J82:J113" si="56">IF($A82&lt;K$5, K$3, IF(K$2=0,IF(K$14&gt;0,IF(K$3*K$14&lt;ROUND(J81*I82, 3),K$3*K$14,ROUND(J81*I82, 3)),ROUND(J81*I82, 3)),IF(K$14&gt;0,IF(K$3*K$14&lt;ROUND(K$3*I82, 3),K$3*K$14,ROUND(K$3*I82, 3)),ROUND(K$3*I82, 3))))</f>
        <v>0.13800000000000001</v>
      </c>
      <c r="K82" s="85">
        <f t="shared" si="26"/>
        <v>4.83</v>
      </c>
      <c r="L82" s="108"/>
      <c r="M82" s="41">
        <f t="shared" si="45"/>
        <v>869.4</v>
      </c>
      <c r="N82" s="41">
        <f t="shared" si="46"/>
        <v>48.3</v>
      </c>
      <c r="O82" s="62">
        <f t="shared" ref="O82:O116" si="57">ROUND((ROUND(K81,2)*(G82-G81)*$O$4+O81+J82*$O$6),2)</f>
        <v>9878.2000000000007</v>
      </c>
      <c r="P82" s="65">
        <f t="shared" si="47"/>
        <v>3.2927333333333335</v>
      </c>
      <c r="Q82" s="19">
        <f t="shared" si="20"/>
        <v>205</v>
      </c>
      <c r="R82" s="20">
        <f t="shared" si="21"/>
        <v>0.28000000000000003</v>
      </c>
      <c r="S82" s="23">
        <f t="shared" ref="S82:S116" si="58">Q82+C82</f>
        <v>223</v>
      </c>
      <c r="T82" s="87">
        <f t="shared" si="22"/>
        <v>0.3</v>
      </c>
      <c r="U82" s="111"/>
      <c r="V82" s="96">
        <f t="shared" si="48"/>
        <v>1039.42</v>
      </c>
      <c r="W82" s="43">
        <f t="shared" si="27"/>
        <v>10917.62</v>
      </c>
      <c r="X82" s="60">
        <f t="shared" si="28"/>
        <v>0.11</v>
      </c>
      <c r="Y82" s="90">
        <f t="shared" si="49"/>
        <v>0.35</v>
      </c>
      <c r="Z82" s="113"/>
      <c r="AA82" s="98">
        <f t="shared" si="50"/>
        <v>-7917.62</v>
      </c>
      <c r="AB82" s="58">
        <f t="shared" si="51"/>
        <v>3.64</v>
      </c>
      <c r="AC82" s="54">
        <f t="shared" si="52"/>
        <v>0</v>
      </c>
      <c r="AD82" s="55">
        <f t="shared" si="29"/>
        <v>0</v>
      </c>
      <c r="AE82" s="47">
        <v>66</v>
      </c>
    </row>
    <row r="83" spans="1:31" ht="15" x14ac:dyDescent="0.25">
      <c r="A83" s="45">
        <v>67</v>
      </c>
      <c r="B83" s="15">
        <f t="shared" si="53"/>
        <v>0</v>
      </c>
      <c r="C83" s="82">
        <f t="shared" si="54"/>
        <v>18</v>
      </c>
      <c r="D83" s="104"/>
      <c r="E83" s="92">
        <f t="shared" si="44"/>
        <v>0</v>
      </c>
      <c r="F83" s="14">
        <f t="shared" si="24"/>
        <v>9</v>
      </c>
      <c r="G83" s="84">
        <f t="shared" si="25"/>
        <v>748</v>
      </c>
      <c r="H83" s="104"/>
      <c r="I83" s="94">
        <f t="shared" si="55"/>
        <v>7</v>
      </c>
      <c r="J83" s="17">
        <f t="shared" si="56"/>
        <v>0.14000000000000001</v>
      </c>
      <c r="K83" s="85">
        <f t="shared" si="26"/>
        <v>4.97</v>
      </c>
      <c r="L83" s="108"/>
      <c r="M83" s="41">
        <f t="shared" si="45"/>
        <v>894.6</v>
      </c>
      <c r="N83" s="41">
        <f t="shared" si="46"/>
        <v>49.7</v>
      </c>
      <c r="O83" s="62">
        <f t="shared" si="57"/>
        <v>10312.9</v>
      </c>
      <c r="P83" s="65">
        <f t="shared" si="47"/>
        <v>3.4376333333333333</v>
      </c>
      <c r="Q83" s="19">
        <f t="shared" ref="Q83:Q116" si="59">ROUND(O83/N83,0)</f>
        <v>208</v>
      </c>
      <c r="R83" s="20">
        <f t="shared" ref="R83:R116" si="60">ROUND(Q83/G83,2)</f>
        <v>0.28000000000000003</v>
      </c>
      <c r="S83" s="23">
        <f t="shared" si="58"/>
        <v>226</v>
      </c>
      <c r="T83" s="87">
        <f t="shared" ref="T83:T116" si="61">ROUND(S83/G83,2)</f>
        <v>0.3</v>
      </c>
      <c r="U83" s="111"/>
      <c r="V83" s="96">
        <f t="shared" si="48"/>
        <v>1069.54</v>
      </c>
      <c r="W83" s="43">
        <f t="shared" si="27"/>
        <v>11382.44</v>
      </c>
      <c r="X83" s="60">
        <f t="shared" si="28"/>
        <v>0.1</v>
      </c>
      <c r="Y83" s="90">
        <f t="shared" si="49"/>
        <v>0.36</v>
      </c>
      <c r="Z83" s="113"/>
      <c r="AA83" s="98">
        <f t="shared" si="50"/>
        <v>-8382.44</v>
      </c>
      <c r="AB83" s="58">
        <f t="shared" si="51"/>
        <v>3.79</v>
      </c>
      <c r="AC83" s="54">
        <f t="shared" si="52"/>
        <v>0</v>
      </c>
      <c r="AD83" s="55">
        <f t="shared" si="29"/>
        <v>0</v>
      </c>
      <c r="AE83" s="47">
        <v>67</v>
      </c>
    </row>
    <row r="84" spans="1:31" ht="15" x14ac:dyDescent="0.25">
      <c r="A84" s="45">
        <v>68</v>
      </c>
      <c r="B84" s="15">
        <f t="shared" si="53"/>
        <v>0</v>
      </c>
      <c r="C84" s="82">
        <f t="shared" si="54"/>
        <v>18</v>
      </c>
      <c r="D84" s="104"/>
      <c r="E84" s="92">
        <f t="shared" si="44"/>
        <v>0</v>
      </c>
      <c r="F84" s="14">
        <f t="shared" si="24"/>
        <v>9</v>
      </c>
      <c r="G84" s="84">
        <f t="shared" si="25"/>
        <v>757</v>
      </c>
      <c r="H84" s="104"/>
      <c r="I84" s="94">
        <f t="shared" si="55"/>
        <v>7.1</v>
      </c>
      <c r="J84" s="17">
        <f t="shared" si="56"/>
        <v>0.14199999999999999</v>
      </c>
      <c r="K84" s="85">
        <f t="shared" si="26"/>
        <v>5.1099999999999994</v>
      </c>
      <c r="L84" s="108"/>
      <c r="M84" s="41">
        <f t="shared" si="45"/>
        <v>919.8</v>
      </c>
      <c r="N84" s="41">
        <f t="shared" si="46"/>
        <v>51.1</v>
      </c>
      <c r="O84" s="62">
        <f t="shared" si="57"/>
        <v>10760.2</v>
      </c>
      <c r="P84" s="65">
        <f t="shared" si="47"/>
        <v>3.5867333333333336</v>
      </c>
      <c r="Q84" s="19">
        <f t="shared" si="59"/>
        <v>211</v>
      </c>
      <c r="R84" s="20">
        <f t="shared" si="60"/>
        <v>0.28000000000000003</v>
      </c>
      <c r="S84" s="23">
        <f t="shared" si="58"/>
        <v>229</v>
      </c>
      <c r="T84" s="87">
        <f t="shared" si="61"/>
        <v>0.3</v>
      </c>
      <c r="U84" s="111"/>
      <c r="V84" s="96">
        <f t="shared" si="48"/>
        <v>1099.67</v>
      </c>
      <c r="W84" s="43">
        <f t="shared" si="27"/>
        <v>11859.87</v>
      </c>
      <c r="X84" s="60">
        <f t="shared" si="28"/>
        <v>0.1</v>
      </c>
      <c r="Y84" s="90">
        <f t="shared" si="49"/>
        <v>0.37</v>
      </c>
      <c r="Z84" s="113"/>
      <c r="AA84" s="98">
        <f t="shared" si="50"/>
        <v>-8859.8700000000008</v>
      </c>
      <c r="AB84" s="58">
        <f t="shared" si="51"/>
        <v>3.95</v>
      </c>
      <c r="AC84" s="54">
        <f t="shared" si="52"/>
        <v>0</v>
      </c>
      <c r="AD84" s="55">
        <f t="shared" si="29"/>
        <v>0</v>
      </c>
      <c r="AE84" s="47">
        <v>68</v>
      </c>
    </row>
    <row r="85" spans="1:31" ht="15" x14ac:dyDescent="0.25">
      <c r="A85" s="45">
        <v>69</v>
      </c>
      <c r="B85" s="15">
        <f t="shared" si="53"/>
        <v>0</v>
      </c>
      <c r="C85" s="82">
        <f t="shared" si="54"/>
        <v>18</v>
      </c>
      <c r="D85" s="104"/>
      <c r="E85" s="92">
        <f t="shared" si="44"/>
        <v>0</v>
      </c>
      <c r="F85" s="14">
        <f t="shared" si="24"/>
        <v>9</v>
      </c>
      <c r="G85" s="84">
        <f t="shared" si="25"/>
        <v>766</v>
      </c>
      <c r="H85" s="104"/>
      <c r="I85" s="94">
        <f t="shared" si="55"/>
        <v>7.2</v>
      </c>
      <c r="J85" s="17">
        <f t="shared" si="56"/>
        <v>0.14399999999999999</v>
      </c>
      <c r="K85" s="85">
        <f t="shared" si="26"/>
        <v>5.2499999999999991</v>
      </c>
      <c r="L85" s="108"/>
      <c r="M85" s="41">
        <f t="shared" si="45"/>
        <v>945</v>
      </c>
      <c r="N85" s="41">
        <f t="shared" si="46"/>
        <v>52.5</v>
      </c>
      <c r="O85" s="62">
        <f t="shared" si="57"/>
        <v>11220.1</v>
      </c>
      <c r="P85" s="65">
        <f t="shared" si="47"/>
        <v>3.7400333333333333</v>
      </c>
      <c r="Q85" s="19">
        <f t="shared" si="59"/>
        <v>214</v>
      </c>
      <c r="R85" s="20">
        <f t="shared" si="60"/>
        <v>0.28000000000000003</v>
      </c>
      <c r="S85" s="23">
        <f t="shared" si="58"/>
        <v>232</v>
      </c>
      <c r="T85" s="87">
        <f t="shared" si="61"/>
        <v>0.3</v>
      </c>
      <c r="U85" s="111"/>
      <c r="V85" s="96">
        <f t="shared" si="48"/>
        <v>1129.8</v>
      </c>
      <c r="W85" s="43">
        <f t="shared" si="27"/>
        <v>12349.9</v>
      </c>
      <c r="X85" s="60">
        <f t="shared" si="28"/>
        <v>0.1</v>
      </c>
      <c r="Y85" s="90">
        <f t="shared" si="49"/>
        <v>0.38</v>
      </c>
      <c r="Z85" s="113"/>
      <c r="AA85" s="98">
        <f t="shared" si="50"/>
        <v>-9349.9</v>
      </c>
      <c r="AB85" s="58">
        <f t="shared" si="51"/>
        <v>4.12</v>
      </c>
      <c r="AC85" s="54">
        <f t="shared" si="52"/>
        <v>0</v>
      </c>
      <c r="AD85" s="55">
        <f t="shared" si="29"/>
        <v>0</v>
      </c>
      <c r="AE85" s="47">
        <v>69</v>
      </c>
    </row>
    <row r="86" spans="1:31" ht="15" x14ac:dyDescent="0.25">
      <c r="A86" s="45">
        <v>70</v>
      </c>
      <c r="B86" s="115">
        <f t="shared" si="53"/>
        <v>0</v>
      </c>
      <c r="C86" s="116">
        <f t="shared" si="54"/>
        <v>18</v>
      </c>
      <c r="D86" s="104"/>
      <c r="E86" s="117">
        <f t="shared" si="44"/>
        <v>0</v>
      </c>
      <c r="F86" s="118">
        <f t="shared" si="24"/>
        <v>9</v>
      </c>
      <c r="G86" s="116">
        <f t="shared" si="25"/>
        <v>775</v>
      </c>
      <c r="H86" s="104"/>
      <c r="I86" s="119">
        <f t="shared" si="55"/>
        <v>7.3</v>
      </c>
      <c r="J86" s="120">
        <f t="shared" si="56"/>
        <v>0.14599999999999999</v>
      </c>
      <c r="K86" s="121">
        <f t="shared" si="26"/>
        <v>5.3999999999999995</v>
      </c>
      <c r="L86" s="108"/>
      <c r="M86" s="122">
        <f t="shared" si="45"/>
        <v>972</v>
      </c>
      <c r="N86" s="122">
        <f t="shared" si="46"/>
        <v>54</v>
      </c>
      <c r="O86" s="123">
        <f t="shared" si="57"/>
        <v>11692.6</v>
      </c>
      <c r="P86" s="124">
        <f t="shared" si="47"/>
        <v>3.8975333333333335</v>
      </c>
      <c r="Q86" s="125">
        <f t="shared" si="59"/>
        <v>217</v>
      </c>
      <c r="R86" s="126">
        <f t="shared" si="60"/>
        <v>0.28000000000000003</v>
      </c>
      <c r="S86" s="127">
        <f t="shared" si="58"/>
        <v>235</v>
      </c>
      <c r="T86" s="128">
        <f t="shared" si="61"/>
        <v>0.3</v>
      </c>
      <c r="U86" s="111"/>
      <c r="V86" s="129">
        <f t="shared" si="48"/>
        <v>1162.08</v>
      </c>
      <c r="W86" s="130">
        <f t="shared" si="27"/>
        <v>12854.68</v>
      </c>
      <c r="X86" s="131">
        <f t="shared" si="28"/>
        <v>0.1</v>
      </c>
      <c r="Y86" s="132">
        <f t="shared" si="49"/>
        <v>0.39</v>
      </c>
      <c r="Z86" s="113"/>
      <c r="AA86" s="133">
        <f t="shared" si="50"/>
        <v>-9854.68</v>
      </c>
      <c r="AB86" s="134">
        <f t="shared" si="51"/>
        <v>4.28</v>
      </c>
      <c r="AC86" s="135">
        <f t="shared" si="52"/>
        <v>0</v>
      </c>
      <c r="AD86" s="136">
        <f t="shared" si="29"/>
        <v>0</v>
      </c>
      <c r="AE86" s="47">
        <v>70</v>
      </c>
    </row>
    <row r="87" spans="1:31" ht="15" x14ac:dyDescent="0.25">
      <c r="A87" s="45">
        <v>71</v>
      </c>
      <c r="B87" s="15">
        <f t="shared" si="53"/>
        <v>0</v>
      </c>
      <c r="C87" s="82">
        <f t="shared" si="54"/>
        <v>18</v>
      </c>
      <c r="D87" s="104"/>
      <c r="E87" s="92">
        <f t="shared" si="44"/>
        <v>0</v>
      </c>
      <c r="F87" s="14">
        <f t="shared" si="24"/>
        <v>9</v>
      </c>
      <c r="G87" s="84">
        <f t="shared" si="25"/>
        <v>784</v>
      </c>
      <c r="H87" s="104"/>
      <c r="I87" s="94">
        <f t="shared" si="55"/>
        <v>7.4</v>
      </c>
      <c r="J87" s="17">
        <f t="shared" si="56"/>
        <v>0.14799999999999999</v>
      </c>
      <c r="K87" s="85">
        <f t="shared" si="26"/>
        <v>5.55</v>
      </c>
      <c r="L87" s="108"/>
      <c r="M87" s="41">
        <f t="shared" si="45"/>
        <v>999</v>
      </c>
      <c r="N87" s="41">
        <f t="shared" si="46"/>
        <v>55.5</v>
      </c>
      <c r="O87" s="62">
        <f t="shared" si="57"/>
        <v>12178.6</v>
      </c>
      <c r="P87" s="65">
        <f t="shared" si="47"/>
        <v>4.0595333333333334</v>
      </c>
      <c r="Q87" s="19">
        <f t="shared" si="59"/>
        <v>219</v>
      </c>
      <c r="R87" s="20">
        <f t="shared" si="60"/>
        <v>0.28000000000000003</v>
      </c>
      <c r="S87" s="23">
        <f t="shared" si="58"/>
        <v>237</v>
      </c>
      <c r="T87" s="87">
        <f t="shared" si="61"/>
        <v>0.3</v>
      </c>
      <c r="U87" s="111"/>
      <c r="V87" s="96">
        <f t="shared" si="48"/>
        <v>1194.3599999999999</v>
      </c>
      <c r="W87" s="43">
        <f t="shared" si="27"/>
        <v>13372.96</v>
      </c>
      <c r="X87" s="60">
        <f t="shared" si="28"/>
        <v>0.1</v>
      </c>
      <c r="Y87" s="90">
        <f t="shared" si="49"/>
        <v>0.4</v>
      </c>
      <c r="Z87" s="113"/>
      <c r="AA87" s="98">
        <f t="shared" si="50"/>
        <v>-10372.959999999999</v>
      </c>
      <c r="AB87" s="58">
        <f t="shared" si="51"/>
        <v>4.46</v>
      </c>
      <c r="AC87" s="54">
        <f t="shared" si="52"/>
        <v>0</v>
      </c>
      <c r="AD87" s="55">
        <f t="shared" si="29"/>
        <v>0</v>
      </c>
      <c r="AE87" s="47">
        <v>71</v>
      </c>
    </row>
    <row r="88" spans="1:31" ht="15" x14ac:dyDescent="0.25">
      <c r="A88" s="45">
        <v>72</v>
      </c>
      <c r="B88" s="15">
        <f t="shared" si="53"/>
        <v>0</v>
      </c>
      <c r="C88" s="82">
        <f t="shared" si="54"/>
        <v>18</v>
      </c>
      <c r="D88" s="104"/>
      <c r="E88" s="92">
        <f t="shared" si="44"/>
        <v>0</v>
      </c>
      <c r="F88" s="14">
        <f t="shared" si="24"/>
        <v>9</v>
      </c>
      <c r="G88" s="84">
        <f t="shared" si="25"/>
        <v>793</v>
      </c>
      <c r="H88" s="104"/>
      <c r="I88" s="94">
        <f t="shared" si="55"/>
        <v>7.5</v>
      </c>
      <c r="J88" s="17">
        <f t="shared" si="56"/>
        <v>0.15</v>
      </c>
      <c r="K88" s="85">
        <f t="shared" si="26"/>
        <v>5.7</v>
      </c>
      <c r="L88" s="108"/>
      <c r="M88" s="41">
        <f t="shared" si="45"/>
        <v>1026</v>
      </c>
      <c r="N88" s="41">
        <f t="shared" si="46"/>
        <v>57</v>
      </c>
      <c r="O88" s="62">
        <f t="shared" si="57"/>
        <v>12678.1</v>
      </c>
      <c r="P88" s="65">
        <f t="shared" si="47"/>
        <v>4.2260333333333335</v>
      </c>
      <c r="Q88" s="19">
        <f t="shared" si="59"/>
        <v>222</v>
      </c>
      <c r="R88" s="20">
        <f t="shared" si="60"/>
        <v>0.28000000000000003</v>
      </c>
      <c r="S88" s="23">
        <f t="shared" si="58"/>
        <v>240</v>
      </c>
      <c r="T88" s="87">
        <f t="shared" si="61"/>
        <v>0.3</v>
      </c>
      <c r="U88" s="111"/>
      <c r="V88" s="96">
        <f t="shared" si="48"/>
        <v>1226.6400000000001</v>
      </c>
      <c r="W88" s="43">
        <f t="shared" si="27"/>
        <v>13904.74</v>
      </c>
      <c r="X88" s="60">
        <f t="shared" si="28"/>
        <v>0.1</v>
      </c>
      <c r="Y88" s="90">
        <f t="shared" si="49"/>
        <v>0.41</v>
      </c>
      <c r="Z88" s="113"/>
      <c r="AA88" s="98">
        <f t="shared" si="50"/>
        <v>-10904.74</v>
      </c>
      <c r="AB88" s="58">
        <f t="shared" si="51"/>
        <v>4.63</v>
      </c>
      <c r="AC88" s="54">
        <f t="shared" si="52"/>
        <v>0</v>
      </c>
      <c r="AD88" s="55">
        <f t="shared" si="29"/>
        <v>0</v>
      </c>
      <c r="AE88" s="47">
        <v>72</v>
      </c>
    </row>
    <row r="89" spans="1:31" ht="15" x14ac:dyDescent="0.25">
      <c r="A89" s="45">
        <v>73</v>
      </c>
      <c r="B89" s="15">
        <f t="shared" si="53"/>
        <v>0</v>
      </c>
      <c r="C89" s="82">
        <f t="shared" si="54"/>
        <v>18</v>
      </c>
      <c r="D89" s="104"/>
      <c r="E89" s="92">
        <f t="shared" si="44"/>
        <v>0</v>
      </c>
      <c r="F89" s="14">
        <f t="shared" si="24"/>
        <v>9</v>
      </c>
      <c r="G89" s="84">
        <f t="shared" si="25"/>
        <v>802</v>
      </c>
      <c r="H89" s="104"/>
      <c r="I89" s="94">
        <f t="shared" si="55"/>
        <v>7.6</v>
      </c>
      <c r="J89" s="17">
        <f t="shared" si="56"/>
        <v>0.152</v>
      </c>
      <c r="K89" s="85">
        <f t="shared" si="26"/>
        <v>5.8500000000000005</v>
      </c>
      <c r="L89" s="108"/>
      <c r="M89" s="41">
        <f t="shared" si="45"/>
        <v>1053</v>
      </c>
      <c r="N89" s="41">
        <f t="shared" si="46"/>
        <v>58.5</v>
      </c>
      <c r="O89" s="62">
        <f t="shared" si="57"/>
        <v>13191.1</v>
      </c>
      <c r="P89" s="65">
        <f t="shared" si="47"/>
        <v>4.3970333333333338</v>
      </c>
      <c r="Q89" s="19">
        <f t="shared" si="59"/>
        <v>225</v>
      </c>
      <c r="R89" s="20">
        <f t="shared" si="60"/>
        <v>0.28000000000000003</v>
      </c>
      <c r="S89" s="23">
        <f t="shared" si="58"/>
        <v>243</v>
      </c>
      <c r="T89" s="87">
        <f t="shared" si="61"/>
        <v>0.3</v>
      </c>
      <c r="U89" s="111"/>
      <c r="V89" s="96">
        <f t="shared" si="48"/>
        <v>1258.92</v>
      </c>
      <c r="W89" s="43">
        <f t="shared" si="27"/>
        <v>14450.02</v>
      </c>
      <c r="X89" s="60">
        <f t="shared" si="28"/>
        <v>0.1</v>
      </c>
      <c r="Y89" s="90">
        <f t="shared" si="49"/>
        <v>0.42</v>
      </c>
      <c r="Z89" s="113"/>
      <c r="AA89" s="98">
        <f t="shared" si="50"/>
        <v>-11450.02</v>
      </c>
      <c r="AB89" s="58">
        <f t="shared" si="51"/>
        <v>4.82</v>
      </c>
      <c r="AC89" s="54">
        <f t="shared" si="52"/>
        <v>0</v>
      </c>
      <c r="AD89" s="55">
        <f t="shared" si="29"/>
        <v>0</v>
      </c>
      <c r="AE89" s="47">
        <v>73</v>
      </c>
    </row>
    <row r="90" spans="1:31" ht="15" x14ac:dyDescent="0.25">
      <c r="A90" s="45">
        <v>74</v>
      </c>
      <c r="B90" s="15">
        <f t="shared" si="53"/>
        <v>0</v>
      </c>
      <c r="C90" s="82">
        <f t="shared" si="54"/>
        <v>18</v>
      </c>
      <c r="D90" s="104"/>
      <c r="E90" s="92">
        <f t="shared" si="44"/>
        <v>0</v>
      </c>
      <c r="F90" s="14">
        <f t="shared" si="24"/>
        <v>9</v>
      </c>
      <c r="G90" s="84">
        <f t="shared" si="25"/>
        <v>811</v>
      </c>
      <c r="H90" s="104"/>
      <c r="I90" s="94">
        <f t="shared" si="55"/>
        <v>7.7</v>
      </c>
      <c r="J90" s="17">
        <f t="shared" si="56"/>
        <v>0.154</v>
      </c>
      <c r="K90" s="85">
        <f t="shared" si="26"/>
        <v>6.0000000000000009</v>
      </c>
      <c r="L90" s="108"/>
      <c r="M90" s="41">
        <f t="shared" si="45"/>
        <v>1080</v>
      </c>
      <c r="N90" s="41">
        <f t="shared" si="46"/>
        <v>60</v>
      </c>
      <c r="O90" s="62">
        <f t="shared" si="57"/>
        <v>13717.6</v>
      </c>
      <c r="P90" s="65">
        <f t="shared" si="47"/>
        <v>4.5725333333333333</v>
      </c>
      <c r="Q90" s="19">
        <f t="shared" si="59"/>
        <v>229</v>
      </c>
      <c r="R90" s="20">
        <f t="shared" si="60"/>
        <v>0.28000000000000003</v>
      </c>
      <c r="S90" s="23">
        <f t="shared" si="58"/>
        <v>247</v>
      </c>
      <c r="T90" s="87">
        <f t="shared" si="61"/>
        <v>0.3</v>
      </c>
      <c r="U90" s="111"/>
      <c r="V90" s="96">
        <f t="shared" si="48"/>
        <v>1291.2</v>
      </c>
      <c r="W90" s="43">
        <f t="shared" si="27"/>
        <v>15008.8</v>
      </c>
      <c r="X90" s="60">
        <f t="shared" si="28"/>
        <v>0.09</v>
      </c>
      <c r="Y90" s="90">
        <f t="shared" si="49"/>
        <v>0.43</v>
      </c>
      <c r="Z90" s="113"/>
      <c r="AA90" s="98">
        <f t="shared" si="50"/>
        <v>-12008.8</v>
      </c>
      <c r="AB90" s="58">
        <f t="shared" si="51"/>
        <v>5</v>
      </c>
      <c r="AC90" s="54">
        <f t="shared" si="52"/>
        <v>0</v>
      </c>
      <c r="AD90" s="55">
        <f t="shared" si="29"/>
        <v>0</v>
      </c>
      <c r="AE90" s="47">
        <v>74</v>
      </c>
    </row>
    <row r="91" spans="1:31" ht="15" x14ac:dyDescent="0.25">
      <c r="A91" s="45">
        <v>75</v>
      </c>
      <c r="B91" s="115">
        <f t="shared" si="53"/>
        <v>0</v>
      </c>
      <c r="C91" s="116">
        <f t="shared" si="54"/>
        <v>18</v>
      </c>
      <c r="D91" s="104"/>
      <c r="E91" s="117">
        <f t="shared" si="44"/>
        <v>0</v>
      </c>
      <c r="F91" s="118">
        <f t="shared" si="24"/>
        <v>9</v>
      </c>
      <c r="G91" s="116">
        <f t="shared" si="25"/>
        <v>820</v>
      </c>
      <c r="H91" s="104"/>
      <c r="I91" s="119">
        <f t="shared" si="55"/>
        <v>7.8</v>
      </c>
      <c r="J91" s="120">
        <f t="shared" si="56"/>
        <v>0.156</v>
      </c>
      <c r="K91" s="121">
        <f t="shared" si="26"/>
        <v>6.160000000000001</v>
      </c>
      <c r="L91" s="108"/>
      <c r="M91" s="122">
        <f t="shared" si="45"/>
        <v>1108.8</v>
      </c>
      <c r="N91" s="122">
        <f t="shared" si="46"/>
        <v>61.6</v>
      </c>
      <c r="O91" s="123">
        <f t="shared" si="57"/>
        <v>14257.6</v>
      </c>
      <c r="P91" s="124">
        <f t="shared" si="47"/>
        <v>4.7525333333333331</v>
      </c>
      <c r="Q91" s="125">
        <f t="shared" si="59"/>
        <v>231</v>
      </c>
      <c r="R91" s="126">
        <f t="shared" si="60"/>
        <v>0.28000000000000003</v>
      </c>
      <c r="S91" s="127">
        <f t="shared" si="58"/>
        <v>249</v>
      </c>
      <c r="T91" s="128">
        <f t="shared" si="61"/>
        <v>0.3</v>
      </c>
      <c r="U91" s="111"/>
      <c r="V91" s="129">
        <f t="shared" si="48"/>
        <v>1325.63</v>
      </c>
      <c r="W91" s="130">
        <f t="shared" si="27"/>
        <v>15583.23</v>
      </c>
      <c r="X91" s="131">
        <f t="shared" si="28"/>
        <v>0.09</v>
      </c>
      <c r="Y91" s="132">
        <f t="shared" si="49"/>
        <v>0.44</v>
      </c>
      <c r="Z91" s="113"/>
      <c r="AA91" s="133">
        <f t="shared" si="50"/>
        <v>-12583.23</v>
      </c>
      <c r="AB91" s="134">
        <f t="shared" si="51"/>
        <v>5.19</v>
      </c>
      <c r="AC91" s="135">
        <f t="shared" si="52"/>
        <v>0</v>
      </c>
      <c r="AD91" s="136">
        <f t="shared" si="29"/>
        <v>0</v>
      </c>
      <c r="AE91" s="47">
        <v>75</v>
      </c>
    </row>
    <row r="92" spans="1:31" ht="15" x14ac:dyDescent="0.25">
      <c r="A92" s="45">
        <v>76</v>
      </c>
      <c r="B92" s="15">
        <f t="shared" si="53"/>
        <v>0</v>
      </c>
      <c r="C92" s="82">
        <f t="shared" si="54"/>
        <v>18</v>
      </c>
      <c r="D92" s="104"/>
      <c r="E92" s="92">
        <f t="shared" si="44"/>
        <v>0</v>
      </c>
      <c r="F92" s="14">
        <f t="shared" si="24"/>
        <v>9</v>
      </c>
      <c r="G92" s="84">
        <f t="shared" si="25"/>
        <v>829</v>
      </c>
      <c r="H92" s="104"/>
      <c r="I92" s="94">
        <f t="shared" si="55"/>
        <v>7.9</v>
      </c>
      <c r="J92" s="17">
        <f t="shared" si="56"/>
        <v>0.158</v>
      </c>
      <c r="K92" s="85">
        <f t="shared" si="26"/>
        <v>6.3200000000000012</v>
      </c>
      <c r="L92" s="108"/>
      <c r="M92" s="41">
        <f t="shared" si="45"/>
        <v>1137.5999999999999</v>
      </c>
      <c r="N92" s="41">
        <f t="shared" si="46"/>
        <v>63.2</v>
      </c>
      <c r="O92" s="62">
        <f t="shared" si="57"/>
        <v>14812</v>
      </c>
      <c r="P92" s="65">
        <f t="shared" si="47"/>
        <v>4.9373333333333331</v>
      </c>
      <c r="Q92" s="19">
        <f t="shared" si="59"/>
        <v>234</v>
      </c>
      <c r="R92" s="20">
        <f t="shared" si="60"/>
        <v>0.28000000000000003</v>
      </c>
      <c r="S92" s="23">
        <f t="shared" si="58"/>
        <v>252</v>
      </c>
      <c r="T92" s="87">
        <f t="shared" si="61"/>
        <v>0.3</v>
      </c>
      <c r="U92" s="111"/>
      <c r="V92" s="96">
        <f t="shared" si="48"/>
        <v>1360.06</v>
      </c>
      <c r="W92" s="43">
        <f t="shared" si="27"/>
        <v>16172.06</v>
      </c>
      <c r="X92" s="60">
        <f t="shared" si="28"/>
        <v>0.09</v>
      </c>
      <c r="Y92" s="90">
        <f t="shared" si="49"/>
        <v>0.45</v>
      </c>
      <c r="Z92" s="113"/>
      <c r="AA92" s="98">
        <f t="shared" si="50"/>
        <v>-13172.06</v>
      </c>
      <c r="AB92" s="58">
        <f t="shared" si="51"/>
        <v>5.39</v>
      </c>
      <c r="AC92" s="54">
        <f t="shared" si="52"/>
        <v>0</v>
      </c>
      <c r="AD92" s="55">
        <f t="shared" si="29"/>
        <v>0</v>
      </c>
      <c r="AE92" s="47">
        <v>76</v>
      </c>
    </row>
    <row r="93" spans="1:31" ht="15" x14ac:dyDescent="0.25">
      <c r="A93" s="45">
        <v>77</v>
      </c>
      <c r="B93" s="15">
        <f t="shared" si="53"/>
        <v>0</v>
      </c>
      <c r="C93" s="82">
        <f t="shared" si="54"/>
        <v>18</v>
      </c>
      <c r="D93" s="104"/>
      <c r="E93" s="92">
        <f t="shared" si="44"/>
        <v>0</v>
      </c>
      <c r="F93" s="14">
        <f t="shared" si="24"/>
        <v>9</v>
      </c>
      <c r="G93" s="84">
        <f t="shared" si="25"/>
        <v>838</v>
      </c>
      <c r="H93" s="104"/>
      <c r="I93" s="94">
        <f t="shared" si="55"/>
        <v>8</v>
      </c>
      <c r="J93" s="17">
        <f t="shared" si="56"/>
        <v>0.16</v>
      </c>
      <c r="K93" s="85">
        <f t="shared" si="26"/>
        <v>6.4800000000000013</v>
      </c>
      <c r="L93" s="108"/>
      <c r="M93" s="41">
        <f t="shared" si="45"/>
        <v>1166.4000000000001</v>
      </c>
      <c r="N93" s="41">
        <f t="shared" si="46"/>
        <v>64.8</v>
      </c>
      <c r="O93" s="62">
        <f t="shared" si="57"/>
        <v>15380.8</v>
      </c>
      <c r="P93" s="65">
        <f t="shared" si="47"/>
        <v>5.1269333333333327</v>
      </c>
      <c r="Q93" s="19">
        <f t="shared" si="59"/>
        <v>237</v>
      </c>
      <c r="R93" s="20">
        <f t="shared" si="60"/>
        <v>0.28000000000000003</v>
      </c>
      <c r="S93" s="23">
        <f t="shared" si="58"/>
        <v>255</v>
      </c>
      <c r="T93" s="87">
        <f t="shared" si="61"/>
        <v>0.3</v>
      </c>
      <c r="U93" s="111"/>
      <c r="V93" s="96">
        <f t="shared" si="48"/>
        <v>1394.5</v>
      </c>
      <c r="W93" s="43">
        <f t="shared" si="27"/>
        <v>16775.3</v>
      </c>
      <c r="X93" s="60">
        <f t="shared" si="28"/>
        <v>0.09</v>
      </c>
      <c r="Y93" s="90">
        <f t="shared" si="49"/>
        <v>0.46</v>
      </c>
      <c r="Z93" s="113"/>
      <c r="AA93" s="98">
        <f t="shared" si="50"/>
        <v>-13775.3</v>
      </c>
      <c r="AB93" s="58">
        <f t="shared" si="51"/>
        <v>5.59</v>
      </c>
      <c r="AC93" s="54">
        <f t="shared" si="52"/>
        <v>0</v>
      </c>
      <c r="AD93" s="55">
        <f t="shared" si="29"/>
        <v>0</v>
      </c>
      <c r="AE93" s="47">
        <v>77</v>
      </c>
    </row>
    <row r="94" spans="1:31" ht="15" x14ac:dyDescent="0.25">
      <c r="A94" s="45">
        <v>78</v>
      </c>
      <c r="B94" s="15">
        <f t="shared" si="53"/>
        <v>0</v>
      </c>
      <c r="C94" s="82">
        <f t="shared" si="54"/>
        <v>18</v>
      </c>
      <c r="D94" s="104"/>
      <c r="E94" s="92">
        <f t="shared" si="44"/>
        <v>0</v>
      </c>
      <c r="F94" s="14">
        <f t="shared" si="24"/>
        <v>9</v>
      </c>
      <c r="G94" s="84">
        <f t="shared" si="25"/>
        <v>847</v>
      </c>
      <c r="H94" s="104"/>
      <c r="I94" s="94">
        <f t="shared" si="55"/>
        <v>8.1</v>
      </c>
      <c r="J94" s="17">
        <f t="shared" si="56"/>
        <v>0.16200000000000001</v>
      </c>
      <c r="K94" s="85">
        <f t="shared" si="26"/>
        <v>6.6400000000000015</v>
      </c>
      <c r="L94" s="108"/>
      <c r="M94" s="41">
        <f t="shared" si="45"/>
        <v>1195.2</v>
      </c>
      <c r="N94" s="41">
        <f t="shared" si="46"/>
        <v>66.400000000000006</v>
      </c>
      <c r="O94" s="62">
        <f t="shared" si="57"/>
        <v>15964</v>
      </c>
      <c r="P94" s="65">
        <f t="shared" si="47"/>
        <v>5.3213333333333335</v>
      </c>
      <c r="Q94" s="19">
        <f t="shared" si="59"/>
        <v>240</v>
      </c>
      <c r="R94" s="20">
        <f t="shared" si="60"/>
        <v>0.28000000000000003</v>
      </c>
      <c r="S94" s="23">
        <f t="shared" si="58"/>
        <v>258</v>
      </c>
      <c r="T94" s="87">
        <f t="shared" si="61"/>
        <v>0.3</v>
      </c>
      <c r="U94" s="111"/>
      <c r="V94" s="96">
        <f t="shared" si="48"/>
        <v>1428.93</v>
      </c>
      <c r="W94" s="43">
        <f t="shared" si="27"/>
        <v>17392.93</v>
      </c>
      <c r="X94" s="60">
        <f t="shared" si="28"/>
        <v>0.09</v>
      </c>
      <c r="Y94" s="90">
        <f t="shared" si="49"/>
        <v>0.48</v>
      </c>
      <c r="Z94" s="113"/>
      <c r="AA94" s="98">
        <f t="shared" si="50"/>
        <v>-14392.93</v>
      </c>
      <c r="AB94" s="58">
        <f t="shared" si="51"/>
        <v>5.8</v>
      </c>
      <c r="AC94" s="54">
        <f t="shared" si="52"/>
        <v>0</v>
      </c>
      <c r="AD94" s="55">
        <f t="shared" si="29"/>
        <v>0</v>
      </c>
      <c r="AE94" s="47">
        <v>78</v>
      </c>
    </row>
    <row r="95" spans="1:31" ht="15" x14ac:dyDescent="0.25">
      <c r="A95" s="45">
        <v>79</v>
      </c>
      <c r="B95" s="15">
        <f t="shared" si="53"/>
        <v>0</v>
      </c>
      <c r="C95" s="82">
        <f t="shared" si="54"/>
        <v>18</v>
      </c>
      <c r="D95" s="104"/>
      <c r="E95" s="92">
        <f t="shared" si="44"/>
        <v>0</v>
      </c>
      <c r="F95" s="14">
        <f t="shared" si="24"/>
        <v>9</v>
      </c>
      <c r="G95" s="84">
        <f t="shared" si="25"/>
        <v>856</v>
      </c>
      <c r="H95" s="104"/>
      <c r="I95" s="94">
        <f t="shared" si="55"/>
        <v>8.1999999999999993</v>
      </c>
      <c r="J95" s="17">
        <f t="shared" si="56"/>
        <v>0.16400000000000001</v>
      </c>
      <c r="K95" s="85">
        <f t="shared" si="26"/>
        <v>6.8000000000000016</v>
      </c>
      <c r="L95" s="108"/>
      <c r="M95" s="41">
        <f t="shared" si="45"/>
        <v>1224</v>
      </c>
      <c r="N95" s="41">
        <f t="shared" si="46"/>
        <v>68</v>
      </c>
      <c r="O95" s="62">
        <f t="shared" si="57"/>
        <v>16561.599999999999</v>
      </c>
      <c r="P95" s="65">
        <f t="shared" si="47"/>
        <v>5.5205333333333328</v>
      </c>
      <c r="Q95" s="19">
        <f t="shared" si="59"/>
        <v>244</v>
      </c>
      <c r="R95" s="20">
        <f t="shared" si="60"/>
        <v>0.28999999999999998</v>
      </c>
      <c r="S95" s="23">
        <f t="shared" si="58"/>
        <v>262</v>
      </c>
      <c r="T95" s="87">
        <f t="shared" si="61"/>
        <v>0.31</v>
      </c>
      <c r="U95" s="111"/>
      <c r="V95" s="96">
        <f t="shared" si="48"/>
        <v>1463.36</v>
      </c>
      <c r="W95" s="43">
        <f t="shared" si="27"/>
        <v>18024.96</v>
      </c>
      <c r="X95" s="60">
        <f t="shared" si="28"/>
        <v>0.09</v>
      </c>
      <c r="Y95" s="90">
        <f t="shared" si="49"/>
        <v>0.49</v>
      </c>
      <c r="Z95" s="113"/>
      <c r="AA95" s="98">
        <f t="shared" si="50"/>
        <v>-15024.96</v>
      </c>
      <c r="AB95" s="58">
        <f t="shared" si="51"/>
        <v>6.01</v>
      </c>
      <c r="AC95" s="54">
        <f t="shared" si="52"/>
        <v>0</v>
      </c>
      <c r="AD95" s="55">
        <f t="shared" si="29"/>
        <v>0</v>
      </c>
      <c r="AE95" s="47">
        <v>79</v>
      </c>
    </row>
    <row r="96" spans="1:31" ht="15" x14ac:dyDescent="0.25">
      <c r="A96" s="45">
        <v>80</v>
      </c>
      <c r="B96" s="115">
        <f t="shared" si="53"/>
        <v>0</v>
      </c>
      <c r="C96" s="116">
        <f t="shared" si="54"/>
        <v>18</v>
      </c>
      <c r="D96" s="104"/>
      <c r="E96" s="117">
        <f t="shared" si="44"/>
        <v>0</v>
      </c>
      <c r="F96" s="118">
        <f t="shared" si="24"/>
        <v>9</v>
      </c>
      <c r="G96" s="116">
        <f t="shared" si="25"/>
        <v>865</v>
      </c>
      <c r="H96" s="104"/>
      <c r="I96" s="119">
        <f t="shared" si="55"/>
        <v>8.3000000000000007</v>
      </c>
      <c r="J96" s="120">
        <f t="shared" si="56"/>
        <v>0.16600000000000001</v>
      </c>
      <c r="K96" s="121">
        <f t="shared" si="26"/>
        <v>6.9700000000000015</v>
      </c>
      <c r="L96" s="108"/>
      <c r="M96" s="122">
        <f t="shared" si="45"/>
        <v>1254.5999999999999</v>
      </c>
      <c r="N96" s="122">
        <f t="shared" si="46"/>
        <v>69.7</v>
      </c>
      <c r="O96" s="123">
        <f t="shared" si="57"/>
        <v>17173.599999999999</v>
      </c>
      <c r="P96" s="124">
        <f t="shared" si="47"/>
        <v>5.7245333333333326</v>
      </c>
      <c r="Q96" s="125">
        <f t="shared" si="59"/>
        <v>246</v>
      </c>
      <c r="R96" s="126">
        <f t="shared" si="60"/>
        <v>0.28000000000000003</v>
      </c>
      <c r="S96" s="127">
        <f t="shared" si="58"/>
        <v>264</v>
      </c>
      <c r="T96" s="128">
        <f t="shared" si="61"/>
        <v>0.31</v>
      </c>
      <c r="U96" s="111"/>
      <c r="V96" s="129">
        <f t="shared" si="48"/>
        <v>1499.94</v>
      </c>
      <c r="W96" s="130">
        <f t="shared" si="27"/>
        <v>18673.54</v>
      </c>
      <c r="X96" s="131">
        <f t="shared" si="28"/>
        <v>0.09</v>
      </c>
      <c r="Y96" s="132">
        <f t="shared" si="49"/>
        <v>0.5</v>
      </c>
      <c r="Z96" s="113"/>
      <c r="AA96" s="133">
        <f t="shared" si="50"/>
        <v>-15673.54</v>
      </c>
      <c r="AB96" s="134">
        <f t="shared" si="51"/>
        <v>6.22</v>
      </c>
      <c r="AC96" s="135">
        <f t="shared" si="52"/>
        <v>0</v>
      </c>
      <c r="AD96" s="136">
        <f t="shared" si="29"/>
        <v>0</v>
      </c>
      <c r="AE96" s="47">
        <v>80</v>
      </c>
    </row>
    <row r="97" spans="1:31" ht="15" x14ac:dyDescent="0.25">
      <c r="A97" s="45">
        <v>81</v>
      </c>
      <c r="B97" s="15">
        <f t="shared" si="53"/>
        <v>0</v>
      </c>
      <c r="C97" s="82">
        <f t="shared" si="54"/>
        <v>18</v>
      </c>
      <c r="D97" s="104"/>
      <c r="E97" s="92">
        <f t="shared" si="44"/>
        <v>0</v>
      </c>
      <c r="F97" s="14">
        <f t="shared" si="24"/>
        <v>9</v>
      </c>
      <c r="G97" s="84">
        <f t="shared" si="25"/>
        <v>874</v>
      </c>
      <c r="H97" s="104"/>
      <c r="I97" s="94">
        <f t="shared" si="55"/>
        <v>8.4</v>
      </c>
      <c r="J97" s="17">
        <f t="shared" si="56"/>
        <v>0.16800000000000001</v>
      </c>
      <c r="K97" s="85">
        <f t="shared" si="26"/>
        <v>7.1400000000000015</v>
      </c>
      <c r="L97" s="108"/>
      <c r="M97" s="41">
        <f t="shared" si="45"/>
        <v>1285.2</v>
      </c>
      <c r="N97" s="41">
        <f t="shared" si="46"/>
        <v>71.400000000000006</v>
      </c>
      <c r="O97" s="62">
        <f t="shared" si="57"/>
        <v>17800.900000000001</v>
      </c>
      <c r="P97" s="65">
        <f t="shared" si="47"/>
        <v>5.9336333333333338</v>
      </c>
      <c r="Q97" s="19">
        <f t="shared" si="59"/>
        <v>249</v>
      </c>
      <c r="R97" s="20">
        <f t="shared" si="60"/>
        <v>0.28000000000000003</v>
      </c>
      <c r="S97" s="23">
        <f t="shared" si="58"/>
        <v>267</v>
      </c>
      <c r="T97" s="87">
        <f t="shared" si="61"/>
        <v>0.31</v>
      </c>
      <c r="U97" s="111"/>
      <c r="V97" s="96">
        <f t="shared" si="48"/>
        <v>1536.53</v>
      </c>
      <c r="W97" s="43">
        <f t="shared" si="27"/>
        <v>19337.43</v>
      </c>
      <c r="X97" s="60">
        <f t="shared" si="28"/>
        <v>0.09</v>
      </c>
      <c r="Y97" s="90">
        <f t="shared" si="49"/>
        <v>0.51</v>
      </c>
      <c r="Z97" s="113"/>
      <c r="AA97" s="98">
        <f t="shared" si="50"/>
        <v>-16337.43</v>
      </c>
      <c r="AB97" s="58">
        <f t="shared" si="51"/>
        <v>6.45</v>
      </c>
      <c r="AC97" s="54">
        <f t="shared" si="52"/>
        <v>0</v>
      </c>
      <c r="AD97" s="55">
        <f t="shared" si="29"/>
        <v>0</v>
      </c>
      <c r="AE97" s="47">
        <v>81</v>
      </c>
    </row>
    <row r="98" spans="1:31" ht="15" x14ac:dyDescent="0.25">
      <c r="A98" s="45">
        <v>82</v>
      </c>
      <c r="B98" s="15">
        <f t="shared" si="53"/>
        <v>0</v>
      </c>
      <c r="C98" s="82">
        <f t="shared" si="54"/>
        <v>18</v>
      </c>
      <c r="D98" s="104"/>
      <c r="E98" s="92">
        <f t="shared" si="44"/>
        <v>0</v>
      </c>
      <c r="F98" s="14">
        <f t="shared" si="24"/>
        <v>9</v>
      </c>
      <c r="G98" s="84">
        <f t="shared" si="25"/>
        <v>883</v>
      </c>
      <c r="H98" s="104"/>
      <c r="I98" s="94">
        <f t="shared" si="55"/>
        <v>8.5</v>
      </c>
      <c r="J98" s="17">
        <f t="shared" si="56"/>
        <v>0.17</v>
      </c>
      <c r="K98" s="85">
        <f t="shared" si="26"/>
        <v>7.3100000000000014</v>
      </c>
      <c r="L98" s="108"/>
      <c r="M98" s="41">
        <f t="shared" si="45"/>
        <v>1315.8</v>
      </c>
      <c r="N98" s="41">
        <f t="shared" si="46"/>
        <v>73.099999999999994</v>
      </c>
      <c r="O98" s="62">
        <f t="shared" si="57"/>
        <v>18443.5</v>
      </c>
      <c r="P98" s="65">
        <f t="shared" si="47"/>
        <v>6.1478333333333337</v>
      </c>
      <c r="Q98" s="19">
        <f t="shared" si="59"/>
        <v>252</v>
      </c>
      <c r="R98" s="20">
        <f t="shared" si="60"/>
        <v>0.28999999999999998</v>
      </c>
      <c r="S98" s="23">
        <f t="shared" si="58"/>
        <v>270</v>
      </c>
      <c r="T98" s="87">
        <f t="shared" si="61"/>
        <v>0.31</v>
      </c>
      <c r="U98" s="111"/>
      <c r="V98" s="96">
        <f t="shared" si="48"/>
        <v>1573.11</v>
      </c>
      <c r="W98" s="43">
        <f t="shared" si="27"/>
        <v>20016.61</v>
      </c>
      <c r="X98" s="60">
        <f t="shared" si="28"/>
        <v>0.09</v>
      </c>
      <c r="Y98" s="90">
        <f t="shared" si="49"/>
        <v>0.52</v>
      </c>
      <c r="Z98" s="113"/>
      <c r="AA98" s="98">
        <f t="shared" si="50"/>
        <v>-17016.61</v>
      </c>
      <c r="AB98" s="58">
        <f t="shared" si="51"/>
        <v>6.67</v>
      </c>
      <c r="AC98" s="54">
        <f t="shared" si="52"/>
        <v>0</v>
      </c>
      <c r="AD98" s="55">
        <f t="shared" si="29"/>
        <v>0</v>
      </c>
      <c r="AE98" s="47">
        <v>82</v>
      </c>
    </row>
    <row r="99" spans="1:31" ht="15" x14ac:dyDescent="0.25">
      <c r="A99" s="45">
        <v>83</v>
      </c>
      <c r="B99" s="15">
        <f t="shared" si="53"/>
        <v>0</v>
      </c>
      <c r="C99" s="82">
        <f t="shared" si="54"/>
        <v>18</v>
      </c>
      <c r="D99" s="104"/>
      <c r="E99" s="92">
        <f t="shared" si="44"/>
        <v>0</v>
      </c>
      <c r="F99" s="14">
        <f t="shared" si="24"/>
        <v>9</v>
      </c>
      <c r="G99" s="84">
        <f t="shared" si="25"/>
        <v>892</v>
      </c>
      <c r="H99" s="104"/>
      <c r="I99" s="94">
        <f t="shared" si="55"/>
        <v>8.6</v>
      </c>
      <c r="J99" s="17">
        <f t="shared" si="56"/>
        <v>0.17199999999999999</v>
      </c>
      <c r="K99" s="85">
        <f t="shared" si="26"/>
        <v>7.4800000000000013</v>
      </c>
      <c r="L99" s="108"/>
      <c r="M99" s="41">
        <f t="shared" si="45"/>
        <v>1346.4</v>
      </c>
      <c r="N99" s="41">
        <f t="shared" si="46"/>
        <v>74.8</v>
      </c>
      <c r="O99" s="62">
        <f t="shared" si="57"/>
        <v>19101.400000000001</v>
      </c>
      <c r="P99" s="65">
        <f t="shared" si="47"/>
        <v>6.3671333333333342</v>
      </c>
      <c r="Q99" s="19">
        <f t="shared" si="59"/>
        <v>255</v>
      </c>
      <c r="R99" s="20">
        <f t="shared" si="60"/>
        <v>0.28999999999999998</v>
      </c>
      <c r="S99" s="23">
        <f t="shared" si="58"/>
        <v>273</v>
      </c>
      <c r="T99" s="87">
        <f t="shared" si="61"/>
        <v>0.31</v>
      </c>
      <c r="U99" s="111"/>
      <c r="V99" s="96">
        <f t="shared" si="48"/>
        <v>1609.7</v>
      </c>
      <c r="W99" s="43">
        <f t="shared" si="27"/>
        <v>20711.099999999999</v>
      </c>
      <c r="X99" s="60">
        <f t="shared" si="28"/>
        <v>0.08</v>
      </c>
      <c r="Y99" s="90">
        <f t="shared" si="49"/>
        <v>0.54</v>
      </c>
      <c r="Z99" s="113"/>
      <c r="AA99" s="98">
        <f t="shared" si="50"/>
        <v>-17711.099999999999</v>
      </c>
      <c r="AB99" s="58">
        <f t="shared" si="51"/>
        <v>6.9</v>
      </c>
      <c r="AC99" s="54">
        <f t="shared" si="52"/>
        <v>0</v>
      </c>
      <c r="AD99" s="55">
        <f t="shared" si="29"/>
        <v>0</v>
      </c>
      <c r="AE99" s="47">
        <v>83</v>
      </c>
    </row>
    <row r="100" spans="1:31" ht="15" x14ac:dyDescent="0.25">
      <c r="A100" s="45">
        <v>84</v>
      </c>
      <c r="B100" s="15">
        <f t="shared" si="53"/>
        <v>0</v>
      </c>
      <c r="C100" s="82">
        <f t="shared" si="54"/>
        <v>18</v>
      </c>
      <c r="D100" s="104"/>
      <c r="E100" s="92">
        <f t="shared" si="44"/>
        <v>0</v>
      </c>
      <c r="F100" s="14">
        <f t="shared" si="24"/>
        <v>9</v>
      </c>
      <c r="G100" s="84">
        <f t="shared" si="25"/>
        <v>901</v>
      </c>
      <c r="H100" s="104"/>
      <c r="I100" s="94">
        <f t="shared" si="55"/>
        <v>8.6999999999999993</v>
      </c>
      <c r="J100" s="17">
        <f t="shared" si="56"/>
        <v>0.17399999999999999</v>
      </c>
      <c r="K100" s="85">
        <f t="shared" si="26"/>
        <v>7.6500000000000012</v>
      </c>
      <c r="L100" s="108"/>
      <c r="M100" s="41">
        <f t="shared" si="45"/>
        <v>1377</v>
      </c>
      <c r="N100" s="41">
        <f t="shared" si="46"/>
        <v>76.5</v>
      </c>
      <c r="O100" s="62">
        <f t="shared" si="57"/>
        <v>19774.599999999999</v>
      </c>
      <c r="P100" s="65">
        <f t="shared" si="47"/>
        <v>6.5915333333333326</v>
      </c>
      <c r="Q100" s="19">
        <f t="shared" si="59"/>
        <v>258</v>
      </c>
      <c r="R100" s="20">
        <f t="shared" si="60"/>
        <v>0.28999999999999998</v>
      </c>
      <c r="S100" s="23">
        <f t="shared" si="58"/>
        <v>276</v>
      </c>
      <c r="T100" s="87">
        <f t="shared" si="61"/>
        <v>0.31</v>
      </c>
      <c r="U100" s="111"/>
      <c r="V100" s="96">
        <f t="shared" si="48"/>
        <v>1646.28</v>
      </c>
      <c r="W100" s="43">
        <f t="shared" si="27"/>
        <v>21420.880000000001</v>
      </c>
      <c r="X100" s="60">
        <f t="shared" si="28"/>
        <v>0.08</v>
      </c>
      <c r="Y100" s="90">
        <f t="shared" si="49"/>
        <v>0.55000000000000004</v>
      </c>
      <c r="Z100" s="113"/>
      <c r="AA100" s="98">
        <f t="shared" si="50"/>
        <v>-18420.88</v>
      </c>
      <c r="AB100" s="58">
        <f t="shared" si="51"/>
        <v>7.14</v>
      </c>
      <c r="AC100" s="54">
        <f t="shared" si="52"/>
        <v>0</v>
      </c>
      <c r="AD100" s="55">
        <f t="shared" si="29"/>
        <v>0</v>
      </c>
      <c r="AE100" s="47">
        <v>84</v>
      </c>
    </row>
    <row r="101" spans="1:31" ht="15" x14ac:dyDescent="0.25">
      <c r="A101" s="45">
        <v>85</v>
      </c>
      <c r="B101" s="115">
        <f t="shared" si="53"/>
        <v>0</v>
      </c>
      <c r="C101" s="116">
        <f t="shared" si="54"/>
        <v>18</v>
      </c>
      <c r="D101" s="104"/>
      <c r="E101" s="117">
        <f t="shared" si="44"/>
        <v>0</v>
      </c>
      <c r="F101" s="118">
        <f t="shared" ref="F101:F116" si="62">F100+E101</f>
        <v>9</v>
      </c>
      <c r="G101" s="116">
        <f t="shared" ref="G101:G116" si="63">G100+F101</f>
        <v>910</v>
      </c>
      <c r="H101" s="104"/>
      <c r="I101" s="119">
        <f t="shared" si="55"/>
        <v>8.8000000000000007</v>
      </c>
      <c r="J101" s="120">
        <f t="shared" si="56"/>
        <v>0.17599999999999999</v>
      </c>
      <c r="K101" s="121">
        <f t="shared" ref="K101:K116" si="64">K100+ROUND(J101,2)</f>
        <v>7.830000000000001</v>
      </c>
      <c r="L101" s="108"/>
      <c r="M101" s="122">
        <f t="shared" si="45"/>
        <v>1409.4</v>
      </c>
      <c r="N101" s="122">
        <f t="shared" si="46"/>
        <v>78.3</v>
      </c>
      <c r="O101" s="123">
        <f t="shared" si="57"/>
        <v>20463.099999999999</v>
      </c>
      <c r="P101" s="124">
        <f t="shared" si="47"/>
        <v>6.8210333333333333</v>
      </c>
      <c r="Q101" s="125">
        <f t="shared" si="59"/>
        <v>261</v>
      </c>
      <c r="R101" s="126">
        <f t="shared" si="60"/>
        <v>0.28999999999999998</v>
      </c>
      <c r="S101" s="127">
        <f t="shared" si="58"/>
        <v>279</v>
      </c>
      <c r="T101" s="128">
        <f t="shared" si="61"/>
        <v>0.31</v>
      </c>
      <c r="U101" s="111"/>
      <c r="V101" s="129">
        <f t="shared" si="48"/>
        <v>1685.02</v>
      </c>
      <c r="W101" s="130">
        <f t="shared" ref="W101:W116" si="65">ROUND(O101+V101,2)</f>
        <v>22148.12</v>
      </c>
      <c r="X101" s="131">
        <f t="shared" ref="X101:X116" si="66">IF(O101&gt;0,ROUND(V101/O101,2),0)</f>
        <v>0.08</v>
      </c>
      <c r="Y101" s="132">
        <f t="shared" si="49"/>
        <v>0.56000000000000005</v>
      </c>
      <c r="Z101" s="113"/>
      <c r="AA101" s="133">
        <f t="shared" si="50"/>
        <v>-19148.12</v>
      </c>
      <c r="AB101" s="134">
        <f t="shared" si="51"/>
        <v>7.38</v>
      </c>
      <c r="AC101" s="135">
        <f t="shared" si="52"/>
        <v>0</v>
      </c>
      <c r="AD101" s="136">
        <f t="shared" ref="AD101:AD116" si="67">IF(AC101&gt;0,AC101+G101,0)</f>
        <v>0</v>
      </c>
      <c r="AE101" s="47">
        <v>85</v>
      </c>
    </row>
    <row r="102" spans="1:31" ht="15" x14ac:dyDescent="0.25">
      <c r="A102" s="45">
        <v>86</v>
      </c>
      <c r="B102" s="15">
        <f t="shared" si="53"/>
        <v>0</v>
      </c>
      <c r="C102" s="82">
        <f t="shared" si="54"/>
        <v>18</v>
      </c>
      <c r="D102" s="104"/>
      <c r="E102" s="92">
        <f t="shared" si="44"/>
        <v>0</v>
      </c>
      <c r="F102" s="14">
        <f t="shared" si="62"/>
        <v>9</v>
      </c>
      <c r="G102" s="84">
        <f t="shared" si="63"/>
        <v>919</v>
      </c>
      <c r="H102" s="104"/>
      <c r="I102" s="94">
        <f t="shared" si="55"/>
        <v>8.9</v>
      </c>
      <c r="J102" s="17">
        <f t="shared" si="56"/>
        <v>0.17799999999999999</v>
      </c>
      <c r="K102" s="85">
        <f t="shared" si="64"/>
        <v>8.0100000000000016</v>
      </c>
      <c r="L102" s="108"/>
      <c r="M102" s="41">
        <f t="shared" si="45"/>
        <v>1441.8</v>
      </c>
      <c r="N102" s="41">
        <f t="shared" si="46"/>
        <v>80.099999999999994</v>
      </c>
      <c r="O102" s="62">
        <f t="shared" si="57"/>
        <v>21167.8</v>
      </c>
      <c r="P102" s="65">
        <f t="shared" si="47"/>
        <v>7.0559333333333329</v>
      </c>
      <c r="Q102" s="19">
        <f t="shared" si="59"/>
        <v>264</v>
      </c>
      <c r="R102" s="20">
        <f t="shared" si="60"/>
        <v>0.28999999999999998</v>
      </c>
      <c r="S102" s="23">
        <f t="shared" si="58"/>
        <v>282</v>
      </c>
      <c r="T102" s="87">
        <f t="shared" si="61"/>
        <v>0.31</v>
      </c>
      <c r="U102" s="111"/>
      <c r="V102" s="96">
        <f t="shared" si="48"/>
        <v>1723.75</v>
      </c>
      <c r="W102" s="43">
        <f t="shared" si="65"/>
        <v>22891.55</v>
      </c>
      <c r="X102" s="60">
        <f t="shared" si="66"/>
        <v>0.08</v>
      </c>
      <c r="Y102" s="90">
        <f t="shared" si="49"/>
        <v>0.56999999999999995</v>
      </c>
      <c r="Z102" s="113"/>
      <c r="AA102" s="98">
        <f t="shared" si="50"/>
        <v>-19891.55</v>
      </c>
      <c r="AB102" s="58">
        <f t="shared" si="51"/>
        <v>7.63</v>
      </c>
      <c r="AC102" s="54">
        <f t="shared" si="52"/>
        <v>0</v>
      </c>
      <c r="AD102" s="55">
        <f t="shared" si="67"/>
        <v>0</v>
      </c>
      <c r="AE102" s="47">
        <v>86</v>
      </c>
    </row>
    <row r="103" spans="1:31" ht="15" x14ac:dyDescent="0.25">
      <c r="A103" s="45">
        <v>87</v>
      </c>
      <c r="B103" s="15">
        <f t="shared" si="53"/>
        <v>0</v>
      </c>
      <c r="C103" s="82">
        <f t="shared" si="54"/>
        <v>18</v>
      </c>
      <c r="D103" s="104"/>
      <c r="E103" s="92">
        <f t="shared" si="44"/>
        <v>0</v>
      </c>
      <c r="F103" s="14">
        <f t="shared" si="62"/>
        <v>9</v>
      </c>
      <c r="G103" s="84">
        <f t="shared" si="63"/>
        <v>928</v>
      </c>
      <c r="H103" s="104"/>
      <c r="I103" s="94">
        <f t="shared" si="55"/>
        <v>9</v>
      </c>
      <c r="J103" s="17">
        <f t="shared" si="56"/>
        <v>0.18</v>
      </c>
      <c r="K103" s="85">
        <f t="shared" si="64"/>
        <v>8.1900000000000013</v>
      </c>
      <c r="L103" s="108"/>
      <c r="M103" s="41">
        <f t="shared" si="45"/>
        <v>1474.2</v>
      </c>
      <c r="N103" s="41">
        <f t="shared" si="46"/>
        <v>81.900000000000006</v>
      </c>
      <c r="O103" s="62">
        <f t="shared" si="57"/>
        <v>21888.7</v>
      </c>
      <c r="P103" s="65">
        <f t="shared" si="47"/>
        <v>7.2962333333333333</v>
      </c>
      <c r="Q103" s="19">
        <f t="shared" si="59"/>
        <v>267</v>
      </c>
      <c r="R103" s="20">
        <f t="shared" si="60"/>
        <v>0.28999999999999998</v>
      </c>
      <c r="S103" s="23">
        <f t="shared" si="58"/>
        <v>285</v>
      </c>
      <c r="T103" s="87">
        <f t="shared" si="61"/>
        <v>0.31</v>
      </c>
      <c r="U103" s="111"/>
      <c r="V103" s="96">
        <f t="shared" si="48"/>
        <v>1762.49</v>
      </c>
      <c r="W103" s="43">
        <f t="shared" si="65"/>
        <v>23651.19</v>
      </c>
      <c r="X103" s="60">
        <f t="shared" si="66"/>
        <v>0.08</v>
      </c>
      <c r="Y103" s="90">
        <f t="shared" si="49"/>
        <v>0.59</v>
      </c>
      <c r="Z103" s="113"/>
      <c r="AA103" s="98">
        <f t="shared" si="50"/>
        <v>-20651.189999999999</v>
      </c>
      <c r="AB103" s="58">
        <f t="shared" si="51"/>
        <v>7.88</v>
      </c>
      <c r="AC103" s="54">
        <f t="shared" si="52"/>
        <v>0</v>
      </c>
      <c r="AD103" s="55">
        <f t="shared" si="67"/>
        <v>0</v>
      </c>
      <c r="AE103" s="47">
        <v>87</v>
      </c>
    </row>
    <row r="104" spans="1:31" ht="15" x14ac:dyDescent="0.25">
      <c r="A104" s="45">
        <v>88</v>
      </c>
      <c r="B104" s="15">
        <f t="shared" si="53"/>
        <v>0</v>
      </c>
      <c r="C104" s="82">
        <f t="shared" si="54"/>
        <v>18</v>
      </c>
      <c r="D104" s="104"/>
      <c r="E104" s="92">
        <f t="shared" si="44"/>
        <v>0</v>
      </c>
      <c r="F104" s="14">
        <f t="shared" si="62"/>
        <v>9</v>
      </c>
      <c r="G104" s="84">
        <f t="shared" si="63"/>
        <v>937</v>
      </c>
      <c r="H104" s="104"/>
      <c r="I104" s="94">
        <f t="shared" si="55"/>
        <v>9.1</v>
      </c>
      <c r="J104" s="17">
        <f t="shared" si="56"/>
        <v>0.182</v>
      </c>
      <c r="K104" s="85">
        <f t="shared" si="64"/>
        <v>8.370000000000001</v>
      </c>
      <c r="L104" s="108"/>
      <c r="M104" s="41">
        <f t="shared" si="45"/>
        <v>1506.6</v>
      </c>
      <c r="N104" s="41">
        <f t="shared" si="46"/>
        <v>83.7</v>
      </c>
      <c r="O104" s="62">
        <f t="shared" si="57"/>
        <v>22625.8</v>
      </c>
      <c r="P104" s="65">
        <f t="shared" si="47"/>
        <v>7.5419333333333327</v>
      </c>
      <c r="Q104" s="19">
        <f t="shared" si="59"/>
        <v>270</v>
      </c>
      <c r="R104" s="20">
        <f t="shared" si="60"/>
        <v>0.28999999999999998</v>
      </c>
      <c r="S104" s="23">
        <f t="shared" si="58"/>
        <v>288</v>
      </c>
      <c r="T104" s="87">
        <f t="shared" si="61"/>
        <v>0.31</v>
      </c>
      <c r="U104" s="111"/>
      <c r="V104" s="96">
        <f t="shared" si="48"/>
        <v>1801.22</v>
      </c>
      <c r="W104" s="43">
        <f t="shared" si="65"/>
        <v>24427.02</v>
      </c>
      <c r="X104" s="60">
        <f t="shared" si="66"/>
        <v>0.08</v>
      </c>
      <c r="Y104" s="90">
        <f t="shared" si="49"/>
        <v>0.6</v>
      </c>
      <c r="Z104" s="113"/>
      <c r="AA104" s="98">
        <f t="shared" si="50"/>
        <v>-21427.02</v>
      </c>
      <c r="AB104" s="58">
        <f t="shared" si="51"/>
        <v>8.14</v>
      </c>
      <c r="AC104" s="54">
        <f t="shared" si="52"/>
        <v>0</v>
      </c>
      <c r="AD104" s="55">
        <f t="shared" si="67"/>
        <v>0</v>
      </c>
      <c r="AE104" s="47">
        <v>88</v>
      </c>
    </row>
    <row r="105" spans="1:31" ht="15" x14ac:dyDescent="0.25">
      <c r="A105" s="45">
        <v>89</v>
      </c>
      <c r="B105" s="15">
        <f t="shared" si="53"/>
        <v>0</v>
      </c>
      <c r="C105" s="82">
        <f t="shared" si="54"/>
        <v>18</v>
      </c>
      <c r="D105" s="104"/>
      <c r="E105" s="92">
        <f t="shared" si="44"/>
        <v>0</v>
      </c>
      <c r="F105" s="14">
        <f t="shared" si="62"/>
        <v>9</v>
      </c>
      <c r="G105" s="84">
        <f t="shared" si="63"/>
        <v>946</v>
      </c>
      <c r="H105" s="104"/>
      <c r="I105" s="94">
        <f t="shared" si="55"/>
        <v>9.1999999999999993</v>
      </c>
      <c r="J105" s="17">
        <f t="shared" si="56"/>
        <v>0.184</v>
      </c>
      <c r="K105" s="85">
        <f t="shared" si="64"/>
        <v>8.5500000000000007</v>
      </c>
      <c r="L105" s="108"/>
      <c r="M105" s="41">
        <f t="shared" si="45"/>
        <v>1539</v>
      </c>
      <c r="N105" s="41">
        <f t="shared" si="46"/>
        <v>85.5</v>
      </c>
      <c r="O105" s="62">
        <f t="shared" si="57"/>
        <v>23379.1</v>
      </c>
      <c r="P105" s="65">
        <f t="shared" si="47"/>
        <v>7.7930333333333328</v>
      </c>
      <c r="Q105" s="19">
        <f t="shared" si="59"/>
        <v>273</v>
      </c>
      <c r="R105" s="20">
        <f t="shared" si="60"/>
        <v>0.28999999999999998</v>
      </c>
      <c r="S105" s="23">
        <f t="shared" si="58"/>
        <v>291</v>
      </c>
      <c r="T105" s="87">
        <f t="shared" si="61"/>
        <v>0.31</v>
      </c>
      <c r="U105" s="111"/>
      <c r="V105" s="96">
        <f t="shared" si="48"/>
        <v>1839.96</v>
      </c>
      <c r="W105" s="43">
        <f t="shared" si="65"/>
        <v>25219.06</v>
      </c>
      <c r="X105" s="60">
        <f t="shared" si="66"/>
        <v>0.08</v>
      </c>
      <c r="Y105" s="90">
        <f t="shared" si="49"/>
        <v>0.61</v>
      </c>
      <c r="Z105" s="113"/>
      <c r="AA105" s="98">
        <f t="shared" si="50"/>
        <v>-22219.06</v>
      </c>
      <c r="AB105" s="58">
        <f t="shared" si="51"/>
        <v>8.41</v>
      </c>
      <c r="AC105" s="54">
        <f t="shared" si="52"/>
        <v>0</v>
      </c>
      <c r="AD105" s="55">
        <f t="shared" si="67"/>
        <v>0</v>
      </c>
      <c r="AE105" s="47">
        <v>89</v>
      </c>
    </row>
    <row r="106" spans="1:31" ht="15" x14ac:dyDescent="0.25">
      <c r="A106" s="45">
        <v>90</v>
      </c>
      <c r="B106" s="115">
        <f t="shared" si="53"/>
        <v>0</v>
      </c>
      <c r="C106" s="116">
        <f t="shared" si="54"/>
        <v>18</v>
      </c>
      <c r="D106" s="104"/>
      <c r="E106" s="117">
        <f t="shared" si="44"/>
        <v>0</v>
      </c>
      <c r="F106" s="118">
        <f t="shared" si="62"/>
        <v>9</v>
      </c>
      <c r="G106" s="116">
        <f t="shared" si="63"/>
        <v>955</v>
      </c>
      <c r="H106" s="104"/>
      <c r="I106" s="119">
        <f t="shared" si="55"/>
        <v>9.3000000000000007</v>
      </c>
      <c r="J106" s="120">
        <f t="shared" si="56"/>
        <v>0.186</v>
      </c>
      <c r="K106" s="121">
        <f t="shared" si="64"/>
        <v>8.74</v>
      </c>
      <c r="L106" s="108"/>
      <c r="M106" s="122">
        <f t="shared" si="45"/>
        <v>1573.2</v>
      </c>
      <c r="N106" s="122">
        <f t="shared" si="46"/>
        <v>87.4</v>
      </c>
      <c r="O106" s="123">
        <f t="shared" si="57"/>
        <v>24148.6</v>
      </c>
      <c r="P106" s="124">
        <f t="shared" si="47"/>
        <v>8.0495333333333328</v>
      </c>
      <c r="Q106" s="125">
        <f t="shared" si="59"/>
        <v>276</v>
      </c>
      <c r="R106" s="126">
        <f t="shared" si="60"/>
        <v>0.28999999999999998</v>
      </c>
      <c r="S106" s="127">
        <f t="shared" si="58"/>
        <v>294</v>
      </c>
      <c r="T106" s="128">
        <f t="shared" si="61"/>
        <v>0.31</v>
      </c>
      <c r="U106" s="111"/>
      <c r="V106" s="129">
        <f t="shared" si="48"/>
        <v>1880.85</v>
      </c>
      <c r="W106" s="130">
        <f t="shared" si="65"/>
        <v>26029.45</v>
      </c>
      <c r="X106" s="131">
        <f t="shared" si="66"/>
        <v>0.08</v>
      </c>
      <c r="Y106" s="132">
        <f t="shared" si="49"/>
        <v>0.63</v>
      </c>
      <c r="Z106" s="113"/>
      <c r="AA106" s="133">
        <f t="shared" si="50"/>
        <v>-23029.45</v>
      </c>
      <c r="AB106" s="134">
        <f t="shared" si="51"/>
        <v>8.68</v>
      </c>
      <c r="AC106" s="135">
        <f t="shared" si="52"/>
        <v>0</v>
      </c>
      <c r="AD106" s="136">
        <f t="shared" si="67"/>
        <v>0</v>
      </c>
      <c r="AE106" s="47">
        <v>90</v>
      </c>
    </row>
    <row r="107" spans="1:31" ht="15" x14ac:dyDescent="0.25">
      <c r="A107" s="45">
        <v>91</v>
      </c>
      <c r="B107" s="15">
        <f t="shared" si="53"/>
        <v>0</v>
      </c>
      <c r="C107" s="82">
        <f t="shared" si="54"/>
        <v>18</v>
      </c>
      <c r="D107" s="104"/>
      <c r="E107" s="92">
        <f t="shared" si="44"/>
        <v>0</v>
      </c>
      <c r="F107" s="14">
        <f t="shared" si="62"/>
        <v>9</v>
      </c>
      <c r="G107" s="84">
        <f t="shared" si="63"/>
        <v>964</v>
      </c>
      <c r="H107" s="104"/>
      <c r="I107" s="94">
        <f t="shared" si="55"/>
        <v>9.4</v>
      </c>
      <c r="J107" s="17">
        <f t="shared" si="56"/>
        <v>0.188</v>
      </c>
      <c r="K107" s="85">
        <f t="shared" si="64"/>
        <v>8.93</v>
      </c>
      <c r="L107" s="108"/>
      <c r="M107" s="41">
        <f t="shared" si="45"/>
        <v>1607.4</v>
      </c>
      <c r="N107" s="41">
        <f t="shared" si="46"/>
        <v>89.3</v>
      </c>
      <c r="O107" s="62">
        <f t="shared" si="57"/>
        <v>24935.200000000001</v>
      </c>
      <c r="P107" s="65">
        <f t="shared" si="47"/>
        <v>8.3117333333333328</v>
      </c>
      <c r="Q107" s="19">
        <f t="shared" si="59"/>
        <v>279</v>
      </c>
      <c r="R107" s="20">
        <f t="shared" si="60"/>
        <v>0.28999999999999998</v>
      </c>
      <c r="S107" s="23">
        <f t="shared" si="58"/>
        <v>297</v>
      </c>
      <c r="T107" s="87">
        <f t="shared" si="61"/>
        <v>0.31</v>
      </c>
      <c r="U107" s="111"/>
      <c r="V107" s="96">
        <f t="shared" si="48"/>
        <v>1921.74</v>
      </c>
      <c r="W107" s="43">
        <f t="shared" si="65"/>
        <v>26856.94</v>
      </c>
      <c r="X107" s="60">
        <f t="shared" si="66"/>
        <v>0.08</v>
      </c>
      <c r="Y107" s="90">
        <f t="shared" si="49"/>
        <v>0.64</v>
      </c>
      <c r="Z107" s="113"/>
      <c r="AA107" s="98">
        <f t="shared" si="50"/>
        <v>-23856.94</v>
      </c>
      <c r="AB107" s="58">
        <f t="shared" si="51"/>
        <v>8.9499999999999993</v>
      </c>
      <c r="AC107" s="54">
        <f t="shared" si="52"/>
        <v>0</v>
      </c>
      <c r="AD107" s="55">
        <f t="shared" si="67"/>
        <v>0</v>
      </c>
      <c r="AE107" s="47">
        <v>91</v>
      </c>
    </row>
    <row r="108" spans="1:31" ht="15" x14ac:dyDescent="0.25">
      <c r="A108" s="45">
        <v>92</v>
      </c>
      <c r="B108" s="15">
        <f t="shared" si="53"/>
        <v>0</v>
      </c>
      <c r="C108" s="82">
        <f t="shared" si="54"/>
        <v>18</v>
      </c>
      <c r="D108" s="104"/>
      <c r="E108" s="92">
        <f t="shared" si="44"/>
        <v>0</v>
      </c>
      <c r="F108" s="14">
        <f t="shared" si="62"/>
        <v>9</v>
      </c>
      <c r="G108" s="84">
        <f t="shared" si="63"/>
        <v>973</v>
      </c>
      <c r="H108" s="104"/>
      <c r="I108" s="94">
        <f t="shared" si="55"/>
        <v>9.5</v>
      </c>
      <c r="J108" s="17">
        <f t="shared" si="56"/>
        <v>0.19</v>
      </c>
      <c r="K108" s="85">
        <f t="shared" si="64"/>
        <v>9.1199999999999992</v>
      </c>
      <c r="L108" s="108"/>
      <c r="M108" s="41">
        <f t="shared" si="45"/>
        <v>1641.6</v>
      </c>
      <c r="N108" s="41">
        <f t="shared" si="46"/>
        <v>91.2</v>
      </c>
      <c r="O108" s="62">
        <f t="shared" si="57"/>
        <v>25738.9</v>
      </c>
      <c r="P108" s="65">
        <f t="shared" si="47"/>
        <v>8.5796333333333337</v>
      </c>
      <c r="Q108" s="19">
        <f t="shared" si="59"/>
        <v>282</v>
      </c>
      <c r="R108" s="20">
        <f t="shared" si="60"/>
        <v>0.28999999999999998</v>
      </c>
      <c r="S108" s="23">
        <f t="shared" si="58"/>
        <v>300</v>
      </c>
      <c r="T108" s="87">
        <f t="shared" si="61"/>
        <v>0.31</v>
      </c>
      <c r="U108" s="111"/>
      <c r="V108" s="96">
        <f t="shared" si="48"/>
        <v>1962.62</v>
      </c>
      <c r="W108" s="43">
        <f t="shared" si="65"/>
        <v>27701.52</v>
      </c>
      <c r="X108" s="60">
        <f t="shared" si="66"/>
        <v>0.08</v>
      </c>
      <c r="Y108" s="90">
        <f t="shared" si="49"/>
        <v>0.65</v>
      </c>
      <c r="Z108" s="113"/>
      <c r="AA108" s="98">
        <f t="shared" si="50"/>
        <v>-24701.52</v>
      </c>
      <c r="AB108" s="58">
        <f t="shared" si="51"/>
        <v>9.23</v>
      </c>
      <c r="AC108" s="54">
        <f t="shared" si="52"/>
        <v>0</v>
      </c>
      <c r="AD108" s="55">
        <f t="shared" si="67"/>
        <v>0</v>
      </c>
      <c r="AE108" s="47">
        <v>92</v>
      </c>
    </row>
    <row r="109" spans="1:31" ht="15" x14ac:dyDescent="0.25">
      <c r="A109" s="45">
        <v>93</v>
      </c>
      <c r="B109" s="15">
        <f t="shared" si="53"/>
        <v>0</v>
      </c>
      <c r="C109" s="82">
        <f t="shared" si="54"/>
        <v>18</v>
      </c>
      <c r="D109" s="104"/>
      <c r="E109" s="92">
        <f t="shared" si="44"/>
        <v>0</v>
      </c>
      <c r="F109" s="14">
        <f t="shared" si="62"/>
        <v>9</v>
      </c>
      <c r="G109" s="84">
        <f t="shared" si="63"/>
        <v>982</v>
      </c>
      <c r="H109" s="104"/>
      <c r="I109" s="94">
        <f t="shared" si="55"/>
        <v>9.6</v>
      </c>
      <c r="J109" s="17">
        <f t="shared" si="56"/>
        <v>0.192</v>
      </c>
      <c r="K109" s="85">
        <f t="shared" si="64"/>
        <v>9.3099999999999987</v>
      </c>
      <c r="L109" s="108"/>
      <c r="M109" s="41">
        <f t="shared" si="45"/>
        <v>1675.8</v>
      </c>
      <c r="N109" s="41">
        <f t="shared" si="46"/>
        <v>93.1</v>
      </c>
      <c r="O109" s="62">
        <f t="shared" si="57"/>
        <v>26559.7</v>
      </c>
      <c r="P109" s="65">
        <f t="shared" si="47"/>
        <v>8.8532333333333337</v>
      </c>
      <c r="Q109" s="19">
        <f t="shared" si="59"/>
        <v>285</v>
      </c>
      <c r="R109" s="20">
        <f t="shared" si="60"/>
        <v>0.28999999999999998</v>
      </c>
      <c r="S109" s="23">
        <f t="shared" si="58"/>
        <v>303</v>
      </c>
      <c r="T109" s="87">
        <f t="shared" si="61"/>
        <v>0.31</v>
      </c>
      <c r="U109" s="111"/>
      <c r="V109" s="96">
        <f t="shared" si="48"/>
        <v>2003.51</v>
      </c>
      <c r="W109" s="43">
        <f t="shared" si="65"/>
        <v>28563.21</v>
      </c>
      <c r="X109" s="60">
        <f t="shared" si="66"/>
        <v>0.08</v>
      </c>
      <c r="Y109" s="90">
        <f t="shared" si="49"/>
        <v>0.67</v>
      </c>
      <c r="Z109" s="113"/>
      <c r="AA109" s="98">
        <f t="shared" si="50"/>
        <v>-25563.21</v>
      </c>
      <c r="AB109" s="58">
        <f t="shared" si="51"/>
        <v>9.52</v>
      </c>
      <c r="AC109" s="54">
        <f t="shared" si="52"/>
        <v>0</v>
      </c>
      <c r="AD109" s="55">
        <f t="shared" si="67"/>
        <v>0</v>
      </c>
      <c r="AE109" s="47">
        <v>93</v>
      </c>
    </row>
    <row r="110" spans="1:31" ht="15" x14ac:dyDescent="0.25">
      <c r="A110" s="45">
        <v>94</v>
      </c>
      <c r="B110" s="15">
        <f t="shared" si="53"/>
        <v>0</v>
      </c>
      <c r="C110" s="82">
        <f t="shared" si="54"/>
        <v>18</v>
      </c>
      <c r="D110" s="104"/>
      <c r="E110" s="92">
        <f t="shared" si="44"/>
        <v>0</v>
      </c>
      <c r="F110" s="14">
        <f t="shared" si="62"/>
        <v>9</v>
      </c>
      <c r="G110" s="84">
        <f t="shared" si="63"/>
        <v>991</v>
      </c>
      <c r="H110" s="104"/>
      <c r="I110" s="94">
        <f t="shared" si="55"/>
        <v>9.6999999999999993</v>
      </c>
      <c r="J110" s="17">
        <f t="shared" si="56"/>
        <v>0.19400000000000001</v>
      </c>
      <c r="K110" s="85">
        <f t="shared" si="64"/>
        <v>9.4999999999999982</v>
      </c>
      <c r="L110" s="108"/>
      <c r="M110" s="41">
        <f t="shared" si="45"/>
        <v>1710</v>
      </c>
      <c r="N110" s="41">
        <f t="shared" si="46"/>
        <v>95</v>
      </c>
      <c r="O110" s="62">
        <f t="shared" si="57"/>
        <v>27397.599999999999</v>
      </c>
      <c r="P110" s="65">
        <f t="shared" si="47"/>
        <v>9.1325333333333329</v>
      </c>
      <c r="Q110" s="19">
        <f t="shared" si="59"/>
        <v>288</v>
      </c>
      <c r="R110" s="20">
        <f t="shared" si="60"/>
        <v>0.28999999999999998</v>
      </c>
      <c r="S110" s="23">
        <f t="shared" si="58"/>
        <v>306</v>
      </c>
      <c r="T110" s="87">
        <f t="shared" si="61"/>
        <v>0.31</v>
      </c>
      <c r="U110" s="111"/>
      <c r="V110" s="96">
        <f t="shared" si="48"/>
        <v>2044.4</v>
      </c>
      <c r="W110" s="43">
        <f t="shared" si="65"/>
        <v>29442</v>
      </c>
      <c r="X110" s="60">
        <f t="shared" si="66"/>
        <v>7.0000000000000007E-2</v>
      </c>
      <c r="Y110" s="90">
        <f t="shared" si="49"/>
        <v>0.68</v>
      </c>
      <c r="Z110" s="113"/>
      <c r="AA110" s="98">
        <f t="shared" si="50"/>
        <v>-26442</v>
      </c>
      <c r="AB110" s="58">
        <f t="shared" si="51"/>
        <v>9.81</v>
      </c>
      <c r="AC110" s="54">
        <f t="shared" si="52"/>
        <v>0</v>
      </c>
      <c r="AD110" s="55">
        <f t="shared" si="67"/>
        <v>0</v>
      </c>
      <c r="AE110" s="47">
        <v>94</v>
      </c>
    </row>
    <row r="111" spans="1:31" ht="15" x14ac:dyDescent="0.25">
      <c r="A111" s="45">
        <v>95</v>
      </c>
      <c r="B111" s="115">
        <f t="shared" si="53"/>
        <v>0</v>
      </c>
      <c r="C111" s="116">
        <f t="shared" si="54"/>
        <v>18</v>
      </c>
      <c r="D111" s="104"/>
      <c r="E111" s="117">
        <f t="shared" si="44"/>
        <v>0</v>
      </c>
      <c r="F111" s="118">
        <f t="shared" si="62"/>
        <v>9</v>
      </c>
      <c r="G111" s="116">
        <f t="shared" si="63"/>
        <v>1000</v>
      </c>
      <c r="H111" s="104"/>
      <c r="I111" s="119">
        <f t="shared" si="55"/>
        <v>9.8000000000000007</v>
      </c>
      <c r="J111" s="120">
        <f t="shared" si="56"/>
        <v>0.19600000000000001</v>
      </c>
      <c r="K111" s="121">
        <f t="shared" si="64"/>
        <v>9.6999999999999975</v>
      </c>
      <c r="L111" s="108"/>
      <c r="M111" s="122">
        <f t="shared" si="45"/>
        <v>1746</v>
      </c>
      <c r="N111" s="122">
        <f t="shared" si="46"/>
        <v>97</v>
      </c>
      <c r="O111" s="123">
        <f t="shared" si="57"/>
        <v>28252.6</v>
      </c>
      <c r="P111" s="124">
        <f t="shared" si="47"/>
        <v>9.4175333333333331</v>
      </c>
      <c r="Q111" s="125">
        <f t="shared" si="59"/>
        <v>291</v>
      </c>
      <c r="R111" s="126">
        <f t="shared" si="60"/>
        <v>0.28999999999999998</v>
      </c>
      <c r="S111" s="127">
        <f t="shared" si="58"/>
        <v>309</v>
      </c>
      <c r="T111" s="128">
        <f t="shared" si="61"/>
        <v>0.31</v>
      </c>
      <c r="U111" s="111"/>
      <c r="V111" s="129">
        <f t="shared" si="48"/>
        <v>2087.44</v>
      </c>
      <c r="W111" s="130">
        <f t="shared" si="65"/>
        <v>30340.04</v>
      </c>
      <c r="X111" s="131">
        <f t="shared" si="66"/>
        <v>7.0000000000000007E-2</v>
      </c>
      <c r="Y111" s="132">
        <f t="shared" si="49"/>
        <v>0.7</v>
      </c>
      <c r="Z111" s="113"/>
      <c r="AA111" s="133">
        <f t="shared" si="50"/>
        <v>-27340.04</v>
      </c>
      <c r="AB111" s="134">
        <f t="shared" si="51"/>
        <v>10.11</v>
      </c>
      <c r="AC111" s="135">
        <f t="shared" si="52"/>
        <v>0</v>
      </c>
      <c r="AD111" s="136">
        <f t="shared" si="67"/>
        <v>0</v>
      </c>
      <c r="AE111" s="47">
        <v>95</v>
      </c>
    </row>
    <row r="112" spans="1:31" ht="15" x14ac:dyDescent="0.25">
      <c r="A112" s="45">
        <v>96</v>
      </c>
      <c r="B112" s="15">
        <f t="shared" si="53"/>
        <v>0</v>
      </c>
      <c r="C112" s="82">
        <f t="shared" si="54"/>
        <v>18</v>
      </c>
      <c r="D112" s="104"/>
      <c r="E112" s="92">
        <f t="shared" si="44"/>
        <v>0</v>
      </c>
      <c r="F112" s="14">
        <f t="shared" si="62"/>
        <v>9</v>
      </c>
      <c r="G112" s="84">
        <f t="shared" si="63"/>
        <v>1009</v>
      </c>
      <c r="H112" s="104"/>
      <c r="I112" s="94">
        <f t="shared" si="55"/>
        <v>9.9</v>
      </c>
      <c r="J112" s="17">
        <f t="shared" si="56"/>
        <v>0.19800000000000001</v>
      </c>
      <c r="K112" s="85">
        <f t="shared" si="64"/>
        <v>9.8999999999999968</v>
      </c>
      <c r="L112" s="108"/>
      <c r="M112" s="41">
        <f t="shared" si="45"/>
        <v>1782</v>
      </c>
      <c r="N112" s="41">
        <f t="shared" si="46"/>
        <v>99</v>
      </c>
      <c r="O112" s="62">
        <f t="shared" si="57"/>
        <v>29125.599999999999</v>
      </c>
      <c r="P112" s="65">
        <f t="shared" si="47"/>
        <v>9.7085333333333335</v>
      </c>
      <c r="Q112" s="19">
        <f t="shared" si="59"/>
        <v>294</v>
      </c>
      <c r="R112" s="20">
        <f t="shared" si="60"/>
        <v>0.28999999999999998</v>
      </c>
      <c r="S112" s="23">
        <f t="shared" si="58"/>
        <v>312</v>
      </c>
      <c r="T112" s="87">
        <f t="shared" si="61"/>
        <v>0.31</v>
      </c>
      <c r="U112" s="111"/>
      <c r="V112" s="96">
        <f t="shared" si="48"/>
        <v>2130.48</v>
      </c>
      <c r="W112" s="43">
        <f t="shared" si="65"/>
        <v>31256.080000000002</v>
      </c>
      <c r="X112" s="60">
        <f t="shared" si="66"/>
        <v>7.0000000000000007E-2</v>
      </c>
      <c r="Y112" s="90">
        <f t="shared" si="49"/>
        <v>0.71</v>
      </c>
      <c r="Z112" s="113"/>
      <c r="AA112" s="98">
        <f t="shared" si="50"/>
        <v>-28256.080000000002</v>
      </c>
      <c r="AB112" s="58">
        <f t="shared" si="51"/>
        <v>10.42</v>
      </c>
      <c r="AC112" s="54">
        <f t="shared" si="52"/>
        <v>0</v>
      </c>
      <c r="AD112" s="55">
        <f t="shared" si="67"/>
        <v>0</v>
      </c>
      <c r="AE112" s="47">
        <v>96</v>
      </c>
    </row>
    <row r="113" spans="1:31" ht="15" x14ac:dyDescent="0.25">
      <c r="A113" s="45">
        <v>97</v>
      </c>
      <c r="B113" s="15">
        <f t="shared" si="53"/>
        <v>0</v>
      </c>
      <c r="C113" s="82">
        <f t="shared" si="54"/>
        <v>18</v>
      </c>
      <c r="D113" s="104"/>
      <c r="E113" s="92">
        <f t="shared" si="44"/>
        <v>0</v>
      </c>
      <c r="F113" s="14">
        <f t="shared" si="62"/>
        <v>9</v>
      </c>
      <c r="G113" s="84">
        <f t="shared" si="63"/>
        <v>1018</v>
      </c>
      <c r="H113" s="104"/>
      <c r="I113" s="94">
        <f t="shared" si="55"/>
        <v>10</v>
      </c>
      <c r="J113" s="17">
        <f t="shared" si="56"/>
        <v>0.2</v>
      </c>
      <c r="K113" s="85">
        <f t="shared" si="64"/>
        <v>10.099999999999996</v>
      </c>
      <c r="L113" s="108"/>
      <c r="M113" s="41">
        <f t="shared" ref="M113:M116" si="68">ROUND(C113*N113-K113*$O$6,2)</f>
        <v>1818</v>
      </c>
      <c r="N113" s="41">
        <f t="shared" si="46"/>
        <v>101</v>
      </c>
      <c r="O113" s="62">
        <f t="shared" si="57"/>
        <v>30016.6</v>
      </c>
      <c r="P113" s="65">
        <f t="shared" ref="P113:P116" si="69">O113/$O$10</f>
        <v>10.005533333333332</v>
      </c>
      <c r="Q113" s="19">
        <f t="shared" si="59"/>
        <v>297</v>
      </c>
      <c r="R113" s="20">
        <f t="shared" si="60"/>
        <v>0.28999999999999998</v>
      </c>
      <c r="S113" s="23">
        <f t="shared" si="58"/>
        <v>315</v>
      </c>
      <c r="T113" s="87">
        <f t="shared" si="61"/>
        <v>0.31</v>
      </c>
      <c r="U113" s="111"/>
      <c r="V113" s="96">
        <f t="shared" si="48"/>
        <v>2173.52</v>
      </c>
      <c r="W113" s="43">
        <f t="shared" si="65"/>
        <v>32190.12</v>
      </c>
      <c r="X113" s="60">
        <f t="shared" si="66"/>
        <v>7.0000000000000007E-2</v>
      </c>
      <c r="Y113" s="90">
        <f t="shared" si="49"/>
        <v>0.72</v>
      </c>
      <c r="Z113" s="113"/>
      <c r="AA113" s="98">
        <f t="shared" si="50"/>
        <v>-29190.12</v>
      </c>
      <c r="AB113" s="58">
        <f t="shared" si="51"/>
        <v>10.73</v>
      </c>
      <c r="AC113" s="54">
        <f t="shared" si="52"/>
        <v>0</v>
      </c>
      <c r="AD113" s="55">
        <f t="shared" si="67"/>
        <v>0</v>
      </c>
      <c r="AE113" s="47">
        <v>97</v>
      </c>
    </row>
    <row r="114" spans="1:31" ht="15" x14ac:dyDescent="0.25">
      <c r="A114" s="45">
        <v>98</v>
      </c>
      <c r="B114" s="15">
        <f t="shared" ref="B114:B116" si="70">IF(AND($A114&gt;=C$10,C$10&gt;0),0,IF(AND($A114&gt;=C$7,C$7&gt;0),C$8,0))</f>
        <v>0</v>
      </c>
      <c r="C114" s="82">
        <f t="shared" ref="C114:C116" si="71">IF(AND($A114&gt;=C$10,C$10&gt;0),C$11,C113+B114)</f>
        <v>18</v>
      </c>
      <c r="D114" s="104"/>
      <c r="E114" s="92">
        <f t="shared" si="44"/>
        <v>0</v>
      </c>
      <c r="F114" s="14">
        <f t="shared" si="62"/>
        <v>9</v>
      </c>
      <c r="G114" s="84">
        <f t="shared" si="63"/>
        <v>1027</v>
      </c>
      <c r="H114" s="104"/>
      <c r="I114" s="94">
        <f t="shared" si="55"/>
        <v>10.1</v>
      </c>
      <c r="J114" s="17">
        <f t="shared" ref="J114:J116" si="72">IF($A114&lt;K$5, K$3, IF(K$2=0,IF(K$14&gt;0,IF(K$3*K$14&lt;ROUND(J113*I114, 3),K$3*K$14,ROUND(J113*I114, 3)),ROUND(J113*I114, 3)),IF(K$14&gt;0,IF(K$3*K$14&lt;ROUND(K$3*I114, 3),K$3*K$14,ROUND(K$3*I114, 3)),ROUND(K$3*I114, 3))))</f>
        <v>0.20200000000000001</v>
      </c>
      <c r="K114" s="85">
        <f t="shared" si="64"/>
        <v>10.299999999999995</v>
      </c>
      <c r="L114" s="108"/>
      <c r="M114" s="41">
        <f t="shared" si="68"/>
        <v>1854</v>
      </c>
      <c r="N114" s="41">
        <f t="shared" si="46"/>
        <v>103</v>
      </c>
      <c r="O114" s="62">
        <f t="shared" si="57"/>
        <v>30925.599999999999</v>
      </c>
      <c r="P114" s="65">
        <f t="shared" si="69"/>
        <v>10.308533333333333</v>
      </c>
      <c r="Q114" s="19">
        <f t="shared" si="59"/>
        <v>300</v>
      </c>
      <c r="R114" s="20">
        <f t="shared" si="60"/>
        <v>0.28999999999999998</v>
      </c>
      <c r="S114" s="23">
        <f t="shared" si="58"/>
        <v>318</v>
      </c>
      <c r="T114" s="87">
        <f t="shared" si="61"/>
        <v>0.31</v>
      </c>
      <c r="U114" s="111"/>
      <c r="V114" s="96">
        <f t="shared" si="48"/>
        <v>2216.56</v>
      </c>
      <c r="W114" s="43">
        <f t="shared" si="65"/>
        <v>33142.160000000003</v>
      </c>
      <c r="X114" s="60">
        <f t="shared" si="66"/>
        <v>7.0000000000000007E-2</v>
      </c>
      <c r="Y114" s="90">
        <f t="shared" si="49"/>
        <v>0.74</v>
      </c>
      <c r="Z114" s="113"/>
      <c r="AA114" s="98">
        <f t="shared" si="50"/>
        <v>-30142.16</v>
      </c>
      <c r="AB114" s="58">
        <f t="shared" si="51"/>
        <v>11.05</v>
      </c>
      <c r="AC114" s="54">
        <f t="shared" si="52"/>
        <v>0</v>
      </c>
      <c r="AD114" s="55">
        <f t="shared" si="67"/>
        <v>0</v>
      </c>
      <c r="AE114" s="47">
        <v>98</v>
      </c>
    </row>
    <row r="115" spans="1:31" ht="15" x14ac:dyDescent="0.25">
      <c r="A115" s="45">
        <v>99</v>
      </c>
      <c r="B115" s="15">
        <f t="shared" si="70"/>
        <v>0</v>
      </c>
      <c r="C115" s="82">
        <f t="shared" si="71"/>
        <v>18</v>
      </c>
      <c r="D115" s="104"/>
      <c r="E115" s="92">
        <f t="shared" si="44"/>
        <v>0</v>
      </c>
      <c r="F115" s="14">
        <f t="shared" si="62"/>
        <v>9</v>
      </c>
      <c r="G115" s="84">
        <f t="shared" si="63"/>
        <v>1036</v>
      </c>
      <c r="H115" s="104"/>
      <c r="I115" s="94">
        <f t="shared" si="55"/>
        <v>10.199999999999999</v>
      </c>
      <c r="J115" s="17">
        <f t="shared" si="72"/>
        <v>0.20399999999999999</v>
      </c>
      <c r="K115" s="85">
        <f t="shared" si="64"/>
        <v>10.499999999999995</v>
      </c>
      <c r="L115" s="108"/>
      <c r="M115" s="41">
        <f t="shared" si="68"/>
        <v>1890</v>
      </c>
      <c r="N115" s="41">
        <f t="shared" si="46"/>
        <v>105</v>
      </c>
      <c r="O115" s="62">
        <f t="shared" si="57"/>
        <v>31852.6</v>
      </c>
      <c r="P115" s="65">
        <f t="shared" si="69"/>
        <v>10.617533333333332</v>
      </c>
      <c r="Q115" s="19">
        <f t="shared" si="59"/>
        <v>303</v>
      </c>
      <c r="R115" s="20">
        <f t="shared" si="60"/>
        <v>0.28999999999999998</v>
      </c>
      <c r="S115" s="23">
        <f t="shared" si="58"/>
        <v>321</v>
      </c>
      <c r="T115" s="87">
        <f t="shared" si="61"/>
        <v>0.31</v>
      </c>
      <c r="U115" s="111"/>
      <c r="V115" s="96">
        <f t="shared" si="48"/>
        <v>2259.6</v>
      </c>
      <c r="W115" s="43">
        <f t="shared" si="65"/>
        <v>34112.199999999997</v>
      </c>
      <c r="X115" s="60">
        <f t="shared" si="66"/>
        <v>7.0000000000000007E-2</v>
      </c>
      <c r="Y115" s="90">
        <f t="shared" si="49"/>
        <v>0.75</v>
      </c>
      <c r="Z115" s="113"/>
      <c r="AA115" s="98">
        <f t="shared" si="50"/>
        <v>-31112.2</v>
      </c>
      <c r="AB115" s="58">
        <f t="shared" si="51"/>
        <v>11.37</v>
      </c>
      <c r="AC115" s="54">
        <f t="shared" si="52"/>
        <v>0</v>
      </c>
      <c r="AD115" s="55">
        <f t="shared" si="67"/>
        <v>0</v>
      </c>
      <c r="AE115" s="47">
        <v>99</v>
      </c>
    </row>
    <row r="116" spans="1:31" ht="15.75" thickBot="1" x14ac:dyDescent="0.3">
      <c r="A116" s="46">
        <v>100</v>
      </c>
      <c r="B116" s="139">
        <f t="shared" si="70"/>
        <v>0</v>
      </c>
      <c r="C116" s="140">
        <f t="shared" si="71"/>
        <v>18</v>
      </c>
      <c r="D116" s="105"/>
      <c r="E116" s="141">
        <f t="shared" si="44"/>
        <v>0</v>
      </c>
      <c r="F116" s="142">
        <f t="shared" si="62"/>
        <v>9</v>
      </c>
      <c r="G116" s="140">
        <f t="shared" si="63"/>
        <v>1045</v>
      </c>
      <c r="H116" s="105"/>
      <c r="I116" s="143">
        <f t="shared" si="55"/>
        <v>10.3</v>
      </c>
      <c r="J116" s="144">
        <f t="shared" si="72"/>
        <v>0.20599999999999999</v>
      </c>
      <c r="K116" s="145">
        <f t="shared" si="64"/>
        <v>10.709999999999996</v>
      </c>
      <c r="L116" s="109"/>
      <c r="M116" s="138">
        <f t="shared" si="68"/>
        <v>1927.8</v>
      </c>
      <c r="N116" s="138">
        <f t="shared" si="46"/>
        <v>107.1</v>
      </c>
      <c r="O116" s="146">
        <f t="shared" si="57"/>
        <v>32797.599999999999</v>
      </c>
      <c r="P116" s="147">
        <f t="shared" si="69"/>
        <v>10.932533333333334</v>
      </c>
      <c r="Q116" s="148">
        <f t="shared" si="59"/>
        <v>306</v>
      </c>
      <c r="R116" s="149">
        <f t="shared" si="60"/>
        <v>0.28999999999999998</v>
      </c>
      <c r="S116" s="150">
        <f t="shared" si="58"/>
        <v>324</v>
      </c>
      <c r="T116" s="151">
        <f t="shared" si="61"/>
        <v>0.31</v>
      </c>
      <c r="U116" s="112"/>
      <c r="V116" s="152">
        <f t="shared" si="48"/>
        <v>2304.79</v>
      </c>
      <c r="W116" s="153">
        <f t="shared" si="65"/>
        <v>35102.39</v>
      </c>
      <c r="X116" s="154">
        <f t="shared" si="66"/>
        <v>7.0000000000000007E-2</v>
      </c>
      <c r="Y116" s="155">
        <f t="shared" si="49"/>
        <v>0.77</v>
      </c>
      <c r="Z116" s="114"/>
      <c r="AA116" s="156">
        <f t="shared" si="50"/>
        <v>-32102.39</v>
      </c>
      <c r="AB116" s="157">
        <f t="shared" si="51"/>
        <v>11.7</v>
      </c>
      <c r="AC116" s="158">
        <f t="shared" si="52"/>
        <v>0</v>
      </c>
      <c r="AD116" s="159">
        <f t="shared" si="67"/>
        <v>0</v>
      </c>
      <c r="AE116" s="48">
        <v>100</v>
      </c>
    </row>
    <row r="118" spans="1:31" x14ac:dyDescent="0.2">
      <c r="AA118" s="192"/>
      <c r="AB118" s="192"/>
    </row>
    <row r="119" spans="1:31" ht="13.5" thickBot="1" x14ac:dyDescent="0.25"/>
    <row r="120" spans="1:31" ht="12.75" customHeight="1" x14ac:dyDescent="0.2">
      <c r="B120" s="279">
        <v>1</v>
      </c>
      <c r="F120" s="279">
        <v>2</v>
      </c>
      <c r="J120" s="279">
        <v>3</v>
      </c>
      <c r="P120" s="279">
        <v>4</v>
      </c>
      <c r="W120" s="279">
        <v>5</v>
      </c>
      <c r="AC120" s="279">
        <v>6</v>
      </c>
    </row>
    <row r="121" spans="1:31" ht="12.75" customHeight="1" x14ac:dyDescent="0.2">
      <c r="B121" s="280"/>
      <c r="F121" s="280"/>
      <c r="J121" s="280"/>
      <c r="P121" s="280"/>
      <c r="W121" s="280"/>
      <c r="AC121" s="280"/>
    </row>
    <row r="122" spans="1:31" ht="12.75" customHeight="1" thickBot="1" x14ac:dyDescent="0.25">
      <c r="B122" s="281"/>
      <c r="F122" s="281"/>
      <c r="J122" s="281"/>
      <c r="P122" s="281"/>
      <c r="W122" s="281"/>
      <c r="AC122" s="281"/>
    </row>
  </sheetData>
  <sheetProtection sheet="1" objects="1" scenarios="1"/>
  <protectedRanges>
    <protectedRange sqref="C3:C5" name="Диапазон1_3"/>
    <protectedRange sqref="G3:G5" name="Диапазон1_1_1"/>
  </protectedRanges>
  <mergeCells count="17">
    <mergeCell ref="A1:K1"/>
    <mergeCell ref="M1:O1"/>
    <mergeCell ref="P1:T1"/>
    <mergeCell ref="V1:AA1"/>
    <mergeCell ref="AB1:AE1"/>
    <mergeCell ref="J120:J122"/>
    <mergeCell ref="F120:F122"/>
    <mergeCell ref="B120:B122"/>
    <mergeCell ref="AG7:AG9"/>
    <mergeCell ref="AC120:AC122"/>
    <mergeCell ref="W120:W122"/>
    <mergeCell ref="P120:P122"/>
    <mergeCell ref="Q15:R15"/>
    <mergeCell ref="O15:P15"/>
    <mergeCell ref="AG23:AG24"/>
    <mergeCell ref="S15:T15"/>
    <mergeCell ref="AC15:AD15"/>
  </mergeCells>
  <phoneticPr fontId="2" type="noConversion"/>
  <conditionalFormatting sqref="AA17:AA116">
    <cfRule type="cellIs" dxfId="17" priority="18" operator="lessThan">
      <formula>0</formula>
    </cfRule>
    <cfRule type="cellIs" dxfId="16" priority="19" operator="greaterThan">
      <formula>0</formula>
    </cfRule>
  </conditionalFormatting>
  <conditionalFormatting sqref="AA21 AA26 AA31 AA36 AA41 AA46 AA51 AA56 AA61 AA66 AA71 AA76 AA81 AA86 AA91 AA96 AA101 AA106 AA111 AA116">
    <cfRule type="cellIs" dxfId="15" priority="16" operator="lessThan">
      <formula>0</formula>
    </cfRule>
    <cfRule type="cellIs" dxfId="14" priority="17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O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5</xdr:row>
                    <xdr:rowOff>19050</xdr:rowOff>
                  </from>
                  <to>
                    <xdr:col>3</xdr:col>
                    <xdr:colOff>104775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8</xdr:row>
                    <xdr:rowOff>28575</xdr:rowOff>
                  </from>
                  <to>
                    <xdr:col>3</xdr:col>
                    <xdr:colOff>104775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3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104775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8" name="Spinner 231">
              <controlPr defaultSize="0" autoPict="0">
                <anchor>
                  <from>
                    <xdr:col>7</xdr:col>
                    <xdr:colOff>0</xdr:colOff>
                    <xdr:row>5</xdr:row>
                    <xdr:rowOff>9525</xdr:rowOff>
                  </from>
                  <to>
                    <xdr:col>7</xdr:col>
                    <xdr:colOff>104775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9" name="Spinner 232">
              <controlPr defaultSize="0" autoPict="0">
                <anchor moveWithCells="1" sizeWithCells="1">
                  <from>
                    <xdr:col>6</xdr:col>
                    <xdr:colOff>514350</xdr:colOff>
                    <xdr:row>8</xdr:row>
                    <xdr:rowOff>28575</xdr:rowOff>
                  </from>
                  <to>
                    <xdr:col>7</xdr:col>
                    <xdr:colOff>104775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10" name="Spinner 233">
              <controlPr defaultSize="0" autoPict="0">
                <anchor moveWithCells="1" sizeWithCells="1">
                  <from>
                    <xdr:col>6</xdr:col>
                    <xdr:colOff>514350</xdr:colOff>
                    <xdr:row>11</xdr:row>
                    <xdr:rowOff>19050</xdr:rowOff>
                  </from>
                  <to>
                    <xdr:col>7</xdr:col>
                    <xdr:colOff>104775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1" name="Spinner 234">
              <controlPr defaultSize="0" autoPict="0">
                <anchor moveWithCells="1" sizeWithCells="1">
                  <from>
                    <xdr:col>11</xdr:col>
                    <xdr:colOff>0</xdr:colOff>
                    <xdr:row>5</xdr:row>
                    <xdr:rowOff>19050</xdr:rowOff>
                  </from>
                  <to>
                    <xdr:col>11</xdr:col>
                    <xdr:colOff>104775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12" name="Spinner 235">
              <controlPr defaultSize="0" autoPict="0">
                <anchor moveWithCells="1" sizeWithCells="1">
                  <from>
                    <xdr:col>11</xdr:col>
                    <xdr:colOff>0</xdr:colOff>
                    <xdr:row>8</xdr:row>
                    <xdr:rowOff>28575</xdr:rowOff>
                  </from>
                  <to>
                    <xdr:col>11</xdr:col>
                    <xdr:colOff>104775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3" name="Spinner 237">
              <controlPr defaultSize="0" autoPict="0">
                <anchor moveWithCells="1" sizeWithCells="1">
                  <from>
                    <xdr:col>10</xdr:col>
                    <xdr:colOff>561975</xdr:colOff>
                    <xdr:row>11</xdr:row>
                    <xdr:rowOff>9525</xdr:rowOff>
                  </from>
                  <to>
                    <xdr:col>11</xdr:col>
                    <xdr:colOff>104775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4" name="Spinner 256">
              <controlPr defaultSize="0" autoPict="0">
                <anchor moveWithCells="1" sizeWithCells="1">
                  <from>
                    <xdr:col>13</xdr:col>
                    <xdr:colOff>9525</xdr:colOff>
                    <xdr:row>9</xdr:row>
                    <xdr:rowOff>9525</xdr:rowOff>
                  </from>
                  <to>
                    <xdr:col>13</xdr:col>
                    <xdr:colOff>590550</xdr:colOff>
                    <xdr:row>9</xdr:row>
                    <xdr:rowOff>200025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O2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workbookViewId="0">
      <selection activeCell="AA34" sqref="AA33:AB34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196" t="s">
        <v>190</v>
      </c>
      <c r="B1" s="49"/>
      <c r="C1" s="196"/>
      <c r="D1" s="196"/>
      <c r="E1" s="196"/>
    </row>
    <row r="2" spans="1:5" ht="15.75" x14ac:dyDescent="0.25">
      <c r="B2" s="49"/>
    </row>
    <row r="3" spans="1:5" x14ac:dyDescent="0.2">
      <c r="B3" s="51"/>
    </row>
    <row r="4" spans="1:5" x14ac:dyDescent="0.2">
      <c r="B4" s="51"/>
    </row>
    <row r="5" spans="1:5" x14ac:dyDescent="0.2">
      <c r="B5" s="51"/>
    </row>
    <row r="7" spans="1:5" ht="15.75" x14ac:dyDescent="0.25">
      <c r="B7" s="176">
        <v>42689</v>
      </c>
      <c r="D7" s="50" t="s">
        <v>43</v>
      </c>
      <c r="E7" s="52" t="s">
        <v>44</v>
      </c>
    </row>
    <row r="9" spans="1:5" ht="16.5" thickBot="1" x14ac:dyDescent="0.25">
      <c r="A9" s="181" t="s">
        <v>45</v>
      </c>
      <c r="B9" s="182" t="s">
        <v>41</v>
      </c>
      <c r="C9" s="183" t="s">
        <v>31</v>
      </c>
      <c r="D9" s="184" t="s">
        <v>42</v>
      </c>
      <c r="E9" s="185" t="s">
        <v>95</v>
      </c>
    </row>
    <row r="10" spans="1:5" ht="14.25" x14ac:dyDescent="0.2">
      <c r="A10" s="177">
        <v>1</v>
      </c>
      <c r="B10" s="172" t="s">
        <v>59</v>
      </c>
      <c r="C10" s="173">
        <v>151.13999999999999</v>
      </c>
      <c r="D10" s="173">
        <v>7.39</v>
      </c>
      <c r="E10" s="179">
        <v>8</v>
      </c>
    </row>
    <row r="11" spans="1:5" ht="14.25" x14ac:dyDescent="0.2">
      <c r="A11" s="178">
        <f>A10+1</f>
        <v>2</v>
      </c>
      <c r="B11" s="174" t="s">
        <v>61</v>
      </c>
      <c r="C11" s="170">
        <v>151.13999999999999</v>
      </c>
      <c r="D11" s="170">
        <v>10</v>
      </c>
      <c r="E11" s="180">
        <v>8</v>
      </c>
    </row>
    <row r="12" spans="1:5" ht="14.25" x14ac:dyDescent="0.2">
      <c r="A12" s="178">
        <f t="shared" ref="A12:A37" si="0">A11+1</f>
        <v>3</v>
      </c>
      <c r="B12" s="174" t="s">
        <v>63</v>
      </c>
      <c r="C12" s="170">
        <v>151.13999999999999</v>
      </c>
      <c r="D12" s="170">
        <v>9.24</v>
      </c>
      <c r="E12" s="180">
        <v>6</v>
      </c>
    </row>
    <row r="13" spans="1:5" ht="14.25" x14ac:dyDescent="0.2">
      <c r="A13" s="178">
        <f t="shared" si="0"/>
        <v>4</v>
      </c>
      <c r="B13" s="174" t="s">
        <v>65</v>
      </c>
      <c r="C13" s="170">
        <v>151.13999999999999</v>
      </c>
      <c r="D13" s="170">
        <v>7.11</v>
      </c>
      <c r="E13" s="180">
        <v>10</v>
      </c>
    </row>
    <row r="14" spans="1:5" ht="14.25" x14ac:dyDescent="0.2">
      <c r="A14" s="178">
        <f>A13+1</f>
        <v>5</v>
      </c>
      <c r="B14" s="174" t="s">
        <v>67</v>
      </c>
      <c r="C14" s="170">
        <v>151.18</v>
      </c>
      <c r="D14" s="170">
        <v>10</v>
      </c>
      <c r="E14" s="180">
        <v>4</v>
      </c>
    </row>
    <row r="15" spans="1:5" ht="14.25" x14ac:dyDescent="0.2">
      <c r="A15" s="178">
        <f t="shared" si="0"/>
        <v>6</v>
      </c>
      <c r="B15" s="174" t="s">
        <v>72</v>
      </c>
      <c r="C15" s="171">
        <v>147.87</v>
      </c>
      <c r="D15" s="171">
        <v>10</v>
      </c>
      <c r="E15" s="180">
        <v>8</v>
      </c>
    </row>
    <row r="16" spans="1:5" ht="14.25" x14ac:dyDescent="0.2">
      <c r="A16" s="178">
        <f t="shared" si="0"/>
        <v>7</v>
      </c>
      <c r="B16" s="174" t="s">
        <v>74</v>
      </c>
      <c r="C16" s="171">
        <v>147.87</v>
      </c>
      <c r="D16" s="171">
        <v>9.24</v>
      </c>
      <c r="E16" s="180">
        <v>6</v>
      </c>
    </row>
    <row r="17" spans="1:5" ht="14.25" x14ac:dyDescent="0.2">
      <c r="A17" s="178">
        <f t="shared" si="0"/>
        <v>8</v>
      </c>
      <c r="B17" s="174" t="s">
        <v>76</v>
      </c>
      <c r="C17" s="171">
        <v>200.16</v>
      </c>
      <c r="D17" s="171">
        <v>9.24</v>
      </c>
      <c r="E17" s="180">
        <v>8</v>
      </c>
    </row>
    <row r="18" spans="1:5" ht="14.25" x14ac:dyDescent="0.2">
      <c r="A18" s="178">
        <f t="shared" si="0"/>
        <v>9</v>
      </c>
      <c r="B18" s="174" t="s">
        <v>78</v>
      </c>
      <c r="C18" s="171">
        <v>215.18</v>
      </c>
      <c r="D18" s="171">
        <v>7.56</v>
      </c>
      <c r="E18" s="180">
        <v>10</v>
      </c>
    </row>
    <row r="19" spans="1:5" ht="14.25" x14ac:dyDescent="0.2">
      <c r="A19" s="178">
        <f t="shared" si="0"/>
        <v>10</v>
      </c>
      <c r="B19" s="174" t="s">
        <v>80</v>
      </c>
      <c r="C19" s="171">
        <v>215.18</v>
      </c>
      <c r="D19" s="171">
        <v>7.39</v>
      </c>
      <c r="E19" s="180">
        <v>8</v>
      </c>
    </row>
    <row r="20" spans="1:5" ht="14.25" x14ac:dyDescent="0.2">
      <c r="A20" s="178">
        <f t="shared" si="0"/>
        <v>11</v>
      </c>
      <c r="B20" s="174" t="s">
        <v>82</v>
      </c>
      <c r="C20" s="171">
        <v>215.18</v>
      </c>
      <c r="D20" s="171">
        <v>10</v>
      </c>
      <c r="E20" s="180">
        <v>6</v>
      </c>
    </row>
    <row r="21" spans="1:5" ht="14.25" x14ac:dyDescent="0.2">
      <c r="A21" s="178">
        <f t="shared" si="0"/>
        <v>12</v>
      </c>
      <c r="B21" s="174" t="s">
        <v>85</v>
      </c>
      <c r="C21" s="171">
        <v>215.18</v>
      </c>
      <c r="D21" s="171">
        <v>9.24</v>
      </c>
      <c r="E21" s="180">
        <v>4</v>
      </c>
    </row>
    <row r="22" spans="1:5" ht="14.25" x14ac:dyDescent="0.2">
      <c r="A22" s="178">
        <f t="shared" si="0"/>
        <v>13</v>
      </c>
      <c r="B22" s="174" t="s">
        <v>83</v>
      </c>
      <c r="C22" s="171">
        <v>215.18</v>
      </c>
      <c r="D22" s="171">
        <v>12.43</v>
      </c>
      <c r="E22" s="180">
        <v>3</v>
      </c>
    </row>
    <row r="23" spans="1:5" ht="14.25" x14ac:dyDescent="0.2">
      <c r="A23" s="178">
        <f t="shared" si="0"/>
        <v>14</v>
      </c>
      <c r="B23" s="174" t="s">
        <v>87</v>
      </c>
      <c r="C23" s="171">
        <v>215.18</v>
      </c>
      <c r="D23" s="171">
        <v>7.11</v>
      </c>
      <c r="E23" s="180">
        <v>12</v>
      </c>
    </row>
    <row r="24" spans="1:5" ht="14.25" x14ac:dyDescent="0.2">
      <c r="A24" s="178">
        <f t="shared" si="0"/>
        <v>15</v>
      </c>
      <c r="B24" s="174" t="s">
        <v>89</v>
      </c>
      <c r="C24" s="171">
        <v>215.2</v>
      </c>
      <c r="D24" s="171">
        <v>10</v>
      </c>
      <c r="E24" s="180">
        <v>2</v>
      </c>
    </row>
    <row r="25" spans="1:5" ht="14.25" x14ac:dyDescent="0.2">
      <c r="A25" s="178">
        <f t="shared" si="0"/>
        <v>16</v>
      </c>
      <c r="B25" s="174" t="s">
        <v>91</v>
      </c>
      <c r="C25" s="171">
        <v>248.53</v>
      </c>
      <c r="D25" s="171">
        <v>7.56</v>
      </c>
      <c r="E25" s="180">
        <v>10</v>
      </c>
    </row>
    <row r="26" spans="1:5" ht="14.25" x14ac:dyDescent="0.2">
      <c r="A26" s="178">
        <f t="shared" si="0"/>
        <v>17</v>
      </c>
      <c r="B26" s="174" t="s">
        <v>93</v>
      </c>
      <c r="C26" s="171">
        <v>248.53</v>
      </c>
      <c r="D26" s="171">
        <v>7.39</v>
      </c>
      <c r="E26" s="180">
        <v>10</v>
      </c>
    </row>
    <row r="27" spans="1:5" ht="14.25" x14ac:dyDescent="0.2">
      <c r="A27" s="178">
        <f t="shared" si="0"/>
        <v>18</v>
      </c>
      <c r="B27" s="174" t="s">
        <v>94</v>
      </c>
      <c r="C27" s="171">
        <v>248.53</v>
      </c>
      <c r="D27" s="171">
        <v>10</v>
      </c>
      <c r="E27" s="180">
        <v>10</v>
      </c>
    </row>
    <row r="28" spans="1:5" ht="14.25" x14ac:dyDescent="0.2">
      <c r="A28" s="178">
        <f t="shared" si="0"/>
        <v>19</v>
      </c>
      <c r="B28" s="174" t="s">
        <v>57</v>
      </c>
      <c r="C28" s="171">
        <v>248.53</v>
      </c>
      <c r="D28" s="171">
        <v>9.24</v>
      </c>
      <c r="E28" s="180">
        <v>8</v>
      </c>
    </row>
    <row r="29" spans="1:5" ht="14.25" x14ac:dyDescent="0.2">
      <c r="A29" s="178">
        <f t="shared" si="0"/>
        <v>20</v>
      </c>
      <c r="B29" s="174" t="s">
        <v>58</v>
      </c>
      <c r="C29" s="171">
        <v>248.53</v>
      </c>
      <c r="D29" s="171">
        <v>7.11</v>
      </c>
      <c r="E29" s="180">
        <v>18</v>
      </c>
    </row>
    <row r="30" spans="1:5" ht="14.25" x14ac:dyDescent="0.2">
      <c r="A30" s="178">
        <f t="shared" si="0"/>
        <v>21</v>
      </c>
      <c r="B30" s="174" t="s">
        <v>60</v>
      </c>
      <c r="C30" s="171">
        <v>248.56</v>
      </c>
      <c r="D30" s="171">
        <v>10</v>
      </c>
      <c r="E30" s="180">
        <v>3</v>
      </c>
    </row>
    <row r="31" spans="1:5" ht="14.25" x14ac:dyDescent="0.2">
      <c r="A31" s="178">
        <f t="shared" si="0"/>
        <v>22</v>
      </c>
      <c r="B31" s="175" t="s">
        <v>96</v>
      </c>
      <c r="C31" s="53">
        <v>142.15</v>
      </c>
      <c r="D31" s="53">
        <v>7.39</v>
      </c>
      <c r="E31" s="180">
        <v>10</v>
      </c>
    </row>
    <row r="32" spans="1:5" ht="14.25" x14ac:dyDescent="0.2">
      <c r="A32" s="178">
        <f t="shared" si="0"/>
        <v>23</v>
      </c>
      <c r="B32" s="175" t="s">
        <v>97</v>
      </c>
      <c r="C32" s="53">
        <v>142.15</v>
      </c>
      <c r="D32" s="53">
        <v>10</v>
      </c>
      <c r="E32" s="180">
        <v>12</v>
      </c>
    </row>
    <row r="33" spans="1:5" ht="14.25" x14ac:dyDescent="0.2">
      <c r="A33" s="178">
        <f t="shared" si="0"/>
        <v>24</v>
      </c>
      <c r="B33" s="175" t="s">
        <v>62</v>
      </c>
      <c r="C33" s="53">
        <v>142.15</v>
      </c>
      <c r="D33" s="53">
        <v>9.24</v>
      </c>
      <c r="E33" s="180">
        <v>8</v>
      </c>
    </row>
    <row r="34" spans="1:5" ht="14.25" x14ac:dyDescent="0.2">
      <c r="A34" s="178">
        <f t="shared" si="0"/>
        <v>25</v>
      </c>
      <c r="B34" s="175" t="s">
        <v>64</v>
      </c>
      <c r="C34" s="53">
        <v>142.19999999999999</v>
      </c>
      <c r="D34" s="53">
        <v>10</v>
      </c>
      <c r="E34" s="180">
        <v>5</v>
      </c>
    </row>
    <row r="35" spans="1:5" ht="14.25" x14ac:dyDescent="0.2">
      <c r="A35" s="178">
        <f t="shared" si="0"/>
        <v>26</v>
      </c>
      <c r="B35" s="175" t="s">
        <v>68</v>
      </c>
      <c r="C35" s="53">
        <v>200</v>
      </c>
      <c r="D35" s="53">
        <v>7.39</v>
      </c>
      <c r="E35" s="180">
        <v>4</v>
      </c>
    </row>
    <row r="36" spans="1:5" ht="14.25" x14ac:dyDescent="0.2">
      <c r="A36" s="178">
        <f t="shared" si="0"/>
        <v>27</v>
      </c>
      <c r="B36" s="175" t="s">
        <v>70</v>
      </c>
      <c r="C36" s="53">
        <v>200</v>
      </c>
      <c r="D36" s="53">
        <v>10</v>
      </c>
      <c r="E36" s="180">
        <v>4</v>
      </c>
    </row>
    <row r="37" spans="1:5" ht="14.25" x14ac:dyDescent="0.2">
      <c r="A37" s="186">
        <f t="shared" si="0"/>
        <v>28</v>
      </c>
      <c r="B37" s="187" t="s">
        <v>81</v>
      </c>
      <c r="C37" s="188">
        <v>200</v>
      </c>
      <c r="D37" s="188">
        <v>9.24</v>
      </c>
      <c r="E37" s="189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activeCell="I24" sqref="I24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52</v>
      </c>
      <c r="B1" s="169" t="s">
        <v>53</v>
      </c>
      <c r="C1" s="169" t="s">
        <v>54</v>
      </c>
      <c r="D1" s="169" t="s">
        <v>55</v>
      </c>
      <c r="E1" t="s">
        <v>52</v>
      </c>
      <c r="F1" s="169" t="s">
        <v>53</v>
      </c>
      <c r="G1" s="169" t="s">
        <v>54</v>
      </c>
      <c r="H1" s="169" t="s">
        <v>55</v>
      </c>
      <c r="J1" s="196" t="s">
        <v>191</v>
      </c>
      <c r="K1" s="196"/>
      <c r="L1" s="196"/>
      <c r="M1" s="196"/>
      <c r="N1" s="196"/>
      <c r="O1" s="196"/>
      <c r="Q1" s="194" t="str">
        <f>HYPERLINK("http://ru.investing.com/tools/forex-volatility-calculator","investing.com")</f>
        <v>investing.com</v>
      </c>
    </row>
    <row r="2" spans="1:17" x14ac:dyDescent="0.2">
      <c r="A2" s="169" t="s">
        <v>56</v>
      </c>
      <c r="B2" s="169" t="s">
        <v>59</v>
      </c>
      <c r="C2" s="190" t="s">
        <v>139</v>
      </c>
      <c r="D2" s="190" t="s">
        <v>140</v>
      </c>
      <c r="E2" t="s">
        <v>56</v>
      </c>
      <c r="F2" t="s">
        <v>58</v>
      </c>
      <c r="G2" s="191" t="s">
        <v>119</v>
      </c>
      <c r="H2" s="191" t="s">
        <v>105</v>
      </c>
      <c r="J2" s="196"/>
      <c r="K2" s="196"/>
      <c r="L2" s="196"/>
      <c r="M2" s="196"/>
      <c r="N2" s="196"/>
      <c r="O2" s="196"/>
    </row>
    <row r="3" spans="1:17" x14ac:dyDescent="0.2">
      <c r="A3" s="169" t="s">
        <v>56</v>
      </c>
      <c r="B3" s="169" t="s">
        <v>61</v>
      </c>
      <c r="C3" s="190" t="s">
        <v>141</v>
      </c>
      <c r="D3" s="190" t="s">
        <v>202</v>
      </c>
      <c r="E3" t="s">
        <v>56</v>
      </c>
      <c r="F3" t="s">
        <v>60</v>
      </c>
      <c r="G3" s="191" t="s">
        <v>120</v>
      </c>
      <c r="H3" s="191" t="s">
        <v>192</v>
      </c>
    </row>
    <row r="4" spans="1:17" x14ac:dyDescent="0.2">
      <c r="A4" s="169" t="s">
        <v>56</v>
      </c>
      <c r="B4" s="169" t="s">
        <v>63</v>
      </c>
      <c r="C4" s="190" t="s">
        <v>142</v>
      </c>
      <c r="D4" s="190" t="s">
        <v>203</v>
      </c>
      <c r="E4" t="s">
        <v>56</v>
      </c>
      <c r="F4" t="s">
        <v>62</v>
      </c>
      <c r="G4" s="191" t="s">
        <v>121</v>
      </c>
      <c r="H4" s="191" t="s">
        <v>115</v>
      </c>
    </row>
    <row r="5" spans="1:17" x14ac:dyDescent="0.2">
      <c r="A5" s="169" t="s">
        <v>56</v>
      </c>
      <c r="B5" s="169" t="s">
        <v>65</v>
      </c>
      <c r="C5" s="190" t="s">
        <v>143</v>
      </c>
      <c r="D5" s="190" t="s">
        <v>144</v>
      </c>
      <c r="E5" t="s">
        <v>56</v>
      </c>
      <c r="F5" t="s">
        <v>64</v>
      </c>
      <c r="G5" s="191" t="s">
        <v>122</v>
      </c>
      <c r="H5" s="191" t="s">
        <v>193</v>
      </c>
    </row>
    <row r="6" spans="1:17" x14ac:dyDescent="0.2">
      <c r="A6" s="169" t="s">
        <v>56</v>
      </c>
      <c r="B6" s="169" t="s">
        <v>67</v>
      </c>
      <c r="C6" s="190" t="s">
        <v>145</v>
      </c>
      <c r="D6" s="190" t="s">
        <v>146</v>
      </c>
      <c r="E6" t="s">
        <v>56</v>
      </c>
      <c r="F6" t="s">
        <v>66</v>
      </c>
      <c r="G6" s="191" t="s">
        <v>123</v>
      </c>
      <c r="H6" s="191" t="s">
        <v>194</v>
      </c>
    </row>
    <row r="7" spans="1:17" x14ac:dyDescent="0.2">
      <c r="A7" s="169" t="s">
        <v>56</v>
      </c>
      <c r="B7" s="169" t="s">
        <v>69</v>
      </c>
      <c r="C7" s="190" t="s">
        <v>147</v>
      </c>
      <c r="D7" s="190" t="s">
        <v>204</v>
      </c>
      <c r="E7" t="s">
        <v>56</v>
      </c>
      <c r="F7" t="s">
        <v>68</v>
      </c>
      <c r="G7" s="191" t="s">
        <v>124</v>
      </c>
      <c r="H7" s="191" t="s">
        <v>116</v>
      </c>
    </row>
    <row r="8" spans="1:17" x14ac:dyDescent="0.2">
      <c r="A8" s="169" t="s">
        <v>56</v>
      </c>
      <c r="B8" s="169" t="s">
        <v>71</v>
      </c>
      <c r="C8" s="190" t="s">
        <v>148</v>
      </c>
      <c r="D8" s="190" t="s">
        <v>205</v>
      </c>
      <c r="E8" t="s">
        <v>56</v>
      </c>
      <c r="F8" t="s">
        <v>70</v>
      </c>
      <c r="G8" s="191" t="s">
        <v>125</v>
      </c>
      <c r="H8" s="191" t="s">
        <v>126</v>
      </c>
    </row>
    <row r="9" spans="1:17" x14ac:dyDescent="0.2">
      <c r="A9" s="169" t="s">
        <v>56</v>
      </c>
      <c r="B9" s="169" t="s">
        <v>72</v>
      </c>
      <c r="C9" s="190" t="s">
        <v>149</v>
      </c>
      <c r="D9" s="190" t="s">
        <v>114</v>
      </c>
      <c r="E9" t="s">
        <v>56</v>
      </c>
      <c r="F9" t="s">
        <v>98</v>
      </c>
      <c r="G9" s="191" t="s">
        <v>127</v>
      </c>
      <c r="H9" s="191" t="s">
        <v>128</v>
      </c>
    </row>
    <row r="10" spans="1:17" x14ac:dyDescent="0.2">
      <c r="A10" s="169" t="s">
        <v>56</v>
      </c>
      <c r="B10" s="169" t="s">
        <v>74</v>
      </c>
      <c r="C10" s="190" t="s">
        <v>150</v>
      </c>
      <c r="D10" s="190" t="s">
        <v>206</v>
      </c>
      <c r="E10" t="s">
        <v>56</v>
      </c>
      <c r="F10" t="s">
        <v>73</v>
      </c>
      <c r="G10" s="191" t="s">
        <v>129</v>
      </c>
      <c r="H10" s="191" t="s">
        <v>107</v>
      </c>
    </row>
    <row r="11" spans="1:17" x14ac:dyDescent="0.2">
      <c r="A11" s="169" t="s">
        <v>56</v>
      </c>
      <c r="B11" s="169" t="s">
        <v>76</v>
      </c>
      <c r="C11" s="190" t="s">
        <v>151</v>
      </c>
      <c r="D11" s="190" t="s">
        <v>207</v>
      </c>
      <c r="E11" t="s">
        <v>56</v>
      </c>
      <c r="F11" t="s">
        <v>75</v>
      </c>
      <c r="G11" s="191" t="s">
        <v>130</v>
      </c>
      <c r="H11" s="191" t="s">
        <v>102</v>
      </c>
    </row>
    <row r="12" spans="1:17" x14ac:dyDescent="0.2">
      <c r="A12" s="169" t="s">
        <v>56</v>
      </c>
      <c r="B12" s="169" t="s">
        <v>78</v>
      </c>
      <c r="C12" s="190" t="s">
        <v>152</v>
      </c>
      <c r="D12" s="190" t="s">
        <v>159</v>
      </c>
      <c r="E12" t="s">
        <v>56</v>
      </c>
      <c r="F12" t="s">
        <v>77</v>
      </c>
      <c r="G12" s="191" t="s">
        <v>131</v>
      </c>
      <c r="H12" s="191" t="s">
        <v>111</v>
      </c>
    </row>
    <row r="13" spans="1:17" x14ac:dyDescent="0.2">
      <c r="A13" s="169" t="s">
        <v>56</v>
      </c>
      <c r="B13" s="169" t="s">
        <v>80</v>
      </c>
      <c r="C13" s="190" t="s">
        <v>153</v>
      </c>
      <c r="D13" s="190" t="s">
        <v>104</v>
      </c>
      <c r="E13" t="s">
        <v>56</v>
      </c>
      <c r="F13" t="s">
        <v>79</v>
      </c>
      <c r="G13" s="191" t="s">
        <v>132</v>
      </c>
      <c r="H13" s="191" t="s">
        <v>112</v>
      </c>
    </row>
    <row r="14" spans="1:17" x14ac:dyDescent="0.2">
      <c r="A14" s="169" t="s">
        <v>56</v>
      </c>
      <c r="B14" s="169" t="s">
        <v>82</v>
      </c>
      <c r="C14" s="190" t="s">
        <v>154</v>
      </c>
      <c r="D14" s="190" t="s">
        <v>155</v>
      </c>
      <c r="E14" t="s">
        <v>56</v>
      </c>
      <c r="F14" t="s">
        <v>81</v>
      </c>
      <c r="G14" s="191" t="s">
        <v>133</v>
      </c>
      <c r="H14" s="191" t="s">
        <v>114</v>
      </c>
    </row>
    <row r="15" spans="1:17" x14ac:dyDescent="0.2">
      <c r="A15" s="169" t="s">
        <v>56</v>
      </c>
      <c r="B15" s="169" t="s">
        <v>83</v>
      </c>
      <c r="C15" s="190" t="s">
        <v>156</v>
      </c>
      <c r="D15" s="190" t="s">
        <v>208</v>
      </c>
      <c r="E15" t="s">
        <v>56</v>
      </c>
      <c r="F15" t="s">
        <v>99</v>
      </c>
      <c r="G15" s="191" t="s">
        <v>134</v>
      </c>
      <c r="H15" s="191" t="s">
        <v>195</v>
      </c>
    </row>
    <row r="16" spans="1:17" x14ac:dyDescent="0.2">
      <c r="A16" s="169" t="s">
        <v>56</v>
      </c>
      <c r="B16" s="169" t="s">
        <v>85</v>
      </c>
      <c r="C16" s="190" t="s">
        <v>157</v>
      </c>
      <c r="D16" s="190" t="s">
        <v>106</v>
      </c>
      <c r="E16" t="s">
        <v>56</v>
      </c>
      <c r="F16" t="s">
        <v>100</v>
      </c>
      <c r="G16" s="191" t="s">
        <v>117</v>
      </c>
      <c r="H16" s="191" t="s">
        <v>104</v>
      </c>
    </row>
    <row r="17" spans="1:8" x14ac:dyDescent="0.2">
      <c r="A17" s="169" t="s">
        <v>56</v>
      </c>
      <c r="B17" s="169" t="s">
        <v>87</v>
      </c>
      <c r="C17" s="190" t="s">
        <v>158</v>
      </c>
      <c r="D17" s="190" t="s">
        <v>159</v>
      </c>
      <c r="E17" t="s">
        <v>56</v>
      </c>
      <c r="F17" t="s">
        <v>84</v>
      </c>
      <c r="G17" s="191" t="s">
        <v>135</v>
      </c>
      <c r="H17" s="191" t="s">
        <v>196</v>
      </c>
    </row>
    <row r="18" spans="1:8" x14ac:dyDescent="0.2">
      <c r="A18" s="169" t="s">
        <v>56</v>
      </c>
      <c r="B18" s="169" t="s">
        <v>89</v>
      </c>
      <c r="C18" s="190" t="s">
        <v>160</v>
      </c>
      <c r="D18" s="190" t="s">
        <v>161</v>
      </c>
      <c r="E18" t="s">
        <v>56</v>
      </c>
      <c r="F18" t="s">
        <v>86</v>
      </c>
      <c r="G18" s="191" t="s">
        <v>136</v>
      </c>
      <c r="H18" s="191" t="s">
        <v>103</v>
      </c>
    </row>
    <row r="19" spans="1:8" x14ac:dyDescent="0.2">
      <c r="A19" s="169" t="s">
        <v>56</v>
      </c>
      <c r="B19" s="169" t="s">
        <v>91</v>
      </c>
      <c r="C19" s="190" t="s">
        <v>162</v>
      </c>
      <c r="D19" s="190" t="s">
        <v>115</v>
      </c>
      <c r="E19" t="s">
        <v>56</v>
      </c>
      <c r="F19" t="s">
        <v>88</v>
      </c>
      <c r="G19" s="191" t="s">
        <v>137</v>
      </c>
      <c r="H19" s="191" t="s">
        <v>118</v>
      </c>
    </row>
    <row r="20" spans="1:8" x14ac:dyDescent="0.2">
      <c r="A20" s="169" t="s">
        <v>56</v>
      </c>
      <c r="B20" s="169" t="s">
        <v>93</v>
      </c>
      <c r="C20" s="190" t="s">
        <v>163</v>
      </c>
      <c r="D20" s="190" t="s">
        <v>209</v>
      </c>
      <c r="E20" t="s">
        <v>56</v>
      </c>
      <c r="F20" t="s">
        <v>101</v>
      </c>
      <c r="G20" s="191" t="s">
        <v>138</v>
      </c>
      <c r="H20" s="191" t="s">
        <v>197</v>
      </c>
    </row>
    <row r="21" spans="1:8" x14ac:dyDescent="0.2">
      <c r="A21" s="169" t="s">
        <v>56</v>
      </c>
      <c r="B21" s="169" t="s">
        <v>94</v>
      </c>
      <c r="C21" s="190" t="s">
        <v>164</v>
      </c>
      <c r="D21" s="190" t="s">
        <v>113</v>
      </c>
      <c r="E21" t="s">
        <v>56</v>
      </c>
      <c r="F21" t="s">
        <v>90</v>
      </c>
      <c r="G21" s="191" t="s">
        <v>198</v>
      </c>
      <c r="H21" s="191" t="s">
        <v>199</v>
      </c>
    </row>
    <row r="22" spans="1:8" x14ac:dyDescent="0.2">
      <c r="A22" s="169" t="s">
        <v>56</v>
      </c>
      <c r="B22" s="169" t="s">
        <v>57</v>
      </c>
      <c r="C22" s="190" t="s">
        <v>165</v>
      </c>
      <c r="D22" s="190" t="s">
        <v>166</v>
      </c>
      <c r="E22" t="s">
        <v>56</v>
      </c>
      <c r="F22" t="s">
        <v>92</v>
      </c>
      <c r="G22" s="191" t="s">
        <v>200</v>
      </c>
      <c r="H22" s="191" t="s">
        <v>201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88CE09A-6FF1-424B-9F6A-8610A304E4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Графики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Ильнур</cp:lastModifiedBy>
  <cp:lastPrinted>2016-09-13T02:40:01Z</cp:lastPrinted>
  <dcterms:created xsi:type="dcterms:W3CDTF">2016-02-20T10:06:05Z</dcterms:created>
  <dcterms:modified xsi:type="dcterms:W3CDTF">2016-11-21T07:35:33Z</dcterms:modified>
  <cp:contentStatus/>
</cp:coreProperties>
</file>