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tables/table1.xml" ContentType="application/vnd.openxmlformats-officedocument.spreadsheetml.table+xml"/>
  <Override PartName="/xl/comments2.xml" ContentType="application/vnd.openxmlformats-officedocument.spreadsheetml.comments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xl/tables/table3.xml" ContentType="application/vnd.openxmlformats-officedocument.spreadsheetml.table+xml"/>
  <Override PartName="/xl/queryTables/queryTable2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531"/>
  <workbookPr codeName="ЭтаКнига"/>
  <mc:AlternateContent xmlns:mc="http://schemas.openxmlformats.org/markup-compatibility/2006">
    <mc:Choice Requires="x15">
      <x15ac:absPath xmlns:x15ac="http://schemas.microsoft.com/office/spreadsheetml/2010/11/ac" url="C:\Users\Ильнур\Desktop\"/>
    </mc:Choice>
  </mc:AlternateContent>
  <bookViews>
    <workbookView xWindow="0" yWindow="0" windowWidth="18900" windowHeight="11460" tabRatio="688"/>
  </bookViews>
  <sheets>
    <sheet name="Сводная таблица" sheetId="10" r:id="rId1"/>
    <sheet name="Графики" sheetId="12" r:id="rId2"/>
    <sheet name="Залоги и Цена пункта" sheetId="13" r:id="rId3"/>
    <sheet name="Волатильность" sheetId="9" r:id="rId4"/>
  </sheets>
  <definedNames>
    <definedName name="_xlnm._FilterDatabase" localSheetId="0" hidden="1">'Сводная таблица'!$A$15:$AE$15</definedName>
    <definedName name="ExternalData_1" localSheetId="3" hidden="1">Волатильность!$A$1:$D$22</definedName>
    <definedName name="ExternalData_2" localSheetId="3" hidden="1">Волатильность!$E$1:$H$22</definedName>
    <definedName name="solver_adj" localSheetId="0" hidden="1">'Сводная таблица'!$C$11,'Сводная таблица'!$K$8</definedName>
    <definedName name="solver_cvg" localSheetId="0" hidden="1">0.0001</definedName>
    <definedName name="solver_drv" localSheetId="0" hidden="1">2</definedName>
    <definedName name="solver_eng" localSheetId="0" hidden="1">3</definedName>
    <definedName name="solver_est" localSheetId="0" hidden="1">1</definedName>
    <definedName name="solver_itr" localSheetId="0" hidden="1">2147483647</definedName>
    <definedName name="solver_lhs1" localSheetId="0" hidden="1">'Сводная таблица'!$AA$9</definedName>
    <definedName name="solver_lhs2" localSheetId="0" hidden="1">'Сводная таблица'!$AA$2</definedName>
    <definedName name="solver_lhs3" localSheetId="0" hidden="1">'Сводная таблица'!$C$11</definedName>
    <definedName name="solver_lhs4" localSheetId="0" hidden="1">'Сводная таблица'!$K$7</definedName>
    <definedName name="solver_lhs5" localSheetId="0" hidden="1">'Сводная таблица'!$K$7</definedName>
    <definedName name="solver_mip" localSheetId="0" hidden="1">2147483647</definedName>
    <definedName name="solver_mni" localSheetId="0" hidden="1">600</definedName>
    <definedName name="solver_mrt" localSheetId="0" hidden="1">0.075</definedName>
    <definedName name="solver_msl" localSheetId="0" hidden="1">2</definedName>
    <definedName name="solver_neg" localSheetId="0" hidden="1">1</definedName>
    <definedName name="solver_nod" localSheetId="0" hidden="1">2147483647</definedName>
    <definedName name="solver_num" localSheetId="0" hidden="1">3</definedName>
    <definedName name="solver_nwt" localSheetId="0" hidden="1">1</definedName>
    <definedName name="solver_opt" localSheetId="0" hidden="1">'Сводная таблица'!$Y$5</definedName>
    <definedName name="solver_pre" localSheetId="0" hidden="1">0.000001</definedName>
    <definedName name="solver_rbv" localSheetId="0" hidden="1">2</definedName>
    <definedName name="solver_rel1" localSheetId="0" hidden="1">1</definedName>
    <definedName name="solver_rel2" localSheetId="0" hidden="1">3</definedName>
    <definedName name="solver_rel3" localSheetId="0" hidden="1">1</definedName>
    <definedName name="solver_rel4" localSheetId="0" hidden="1">3</definedName>
    <definedName name="solver_rel5" localSheetId="0" hidden="1">3</definedName>
    <definedName name="solver_rhs1" localSheetId="0" hidden="1">25%</definedName>
    <definedName name="solver_rhs2" localSheetId="0" hidden="1">500%</definedName>
    <definedName name="solver_rhs3" localSheetId="0" hidden="1">100</definedName>
    <definedName name="solver_rhs4" localSheetId="0" hidden="1">'Сводная таблица'!$K$5+1</definedName>
    <definedName name="solver_rhs5" localSheetId="0" hidden="1">'Сводная таблица'!$K$5+1</definedName>
    <definedName name="solver_rlx" localSheetId="0" hidden="1">2</definedName>
    <definedName name="solver_rsd" localSheetId="0" hidden="1">0</definedName>
    <definedName name="solver_scl" localSheetId="0" hidden="1">2</definedName>
    <definedName name="solver_sho" localSheetId="0" hidden="1">2</definedName>
    <definedName name="solver_ssz" localSheetId="0" hidden="1">100</definedName>
    <definedName name="solver_tim" localSheetId="0" hidden="1">2147483647</definedName>
    <definedName name="solver_tol" localSheetId="0" hidden="1">0.01</definedName>
    <definedName name="solver_typ" localSheetId="0" hidden="1">1</definedName>
    <definedName name="solver_val" localSheetId="0" hidden="1">0</definedName>
    <definedName name="solver_ver" localSheetId="0" hidden="1">3</definedName>
    <definedName name="безубыток">'Сводная таблица'!$Q$17:INDEX('Сводная таблица'!$Q$17:$Q$116,COUNTIF('Сводная таблица'!$AA$17:$AA$116,"&gt;0"))</definedName>
    <definedName name="маржа">'Сводная таблица'!$AA$17:INDEX('Сводная таблица'!$AA$17:$AA$116,COUNTIF('Сводная таблица'!$AA$17:$AA$116,"&gt;0"))</definedName>
    <definedName name="прибыль">'Сводная таблица'!$M$17:INDEX('Сводная таблица'!$M$17:$M$116,COUNTIF('Сводная таблица'!$AA$17:$AA$116,"&gt;0"))</definedName>
    <definedName name="сетка">'Сводная таблица'!$G$17:INDEX('Сводная таблица'!$G$17:$G$116,COUNTIF('Сводная таблица'!$AA$17:$AA$116,"&gt;0"))</definedName>
    <definedName name="ТР">'Сводная таблица'!$S$17:INDEX('Сводная таблица'!$S$17:$S$116,COUNTIF('Сводная таблица'!$AA$17:$AA$116,"&gt;0"))</definedName>
  </definedNames>
  <calcPr calcId="162913"/>
</workbook>
</file>

<file path=xl/calcChain.xml><?xml version="1.0" encoding="utf-8"?>
<calcChain xmlns="http://schemas.openxmlformats.org/spreadsheetml/2006/main">
  <c r="O5" i="10" l="1"/>
  <c r="O8" i="10"/>
  <c r="O4" i="10"/>
  <c r="Q1" i="9" l="1"/>
  <c r="A11" i="13" l="1"/>
  <c r="A12" i="13" s="1"/>
  <c r="A13" i="13" s="1"/>
  <c r="A14" i="13" l="1"/>
  <c r="A15" i="13" s="1"/>
  <c r="A16" i="13" s="1"/>
  <c r="A17" i="13" s="1"/>
  <c r="A18" i="13" s="1"/>
  <c r="A19" i="13" s="1"/>
  <c r="A20" i="13" s="1"/>
  <c r="A21" i="13" s="1"/>
  <c r="A22" i="13" s="1"/>
  <c r="A23" i="13" s="1"/>
  <c r="A24" i="13" s="1"/>
  <c r="A25" i="13" s="1"/>
  <c r="A26" i="13" s="1"/>
  <c r="A27" i="13" s="1"/>
  <c r="A28" i="13" s="1"/>
  <c r="A29" i="13" s="1"/>
  <c r="A30" i="13" s="1"/>
  <c r="A31" i="13" s="1"/>
  <c r="A32" i="13" s="1"/>
  <c r="A33" i="13" s="1"/>
  <c r="A34" i="13" s="1"/>
  <c r="A35" i="13" s="1"/>
  <c r="A36" i="13" s="1"/>
  <c r="A37" i="13" s="1"/>
  <c r="J4" i="10"/>
  <c r="E20" i="10"/>
  <c r="M5" i="10"/>
  <c r="J2" i="10"/>
  <c r="J14" i="10"/>
  <c r="J13" i="10"/>
  <c r="J11" i="10"/>
  <c r="J10" i="10"/>
  <c r="J3" i="10"/>
  <c r="G17" i="10"/>
  <c r="E47" i="10"/>
  <c r="E45" i="10"/>
  <c r="E42" i="10"/>
  <c r="I17" i="10"/>
  <c r="J17" i="10" s="1"/>
  <c r="K17" i="10" s="1"/>
  <c r="E26" i="10"/>
  <c r="E106" i="10"/>
  <c r="E114" i="10"/>
  <c r="E100" i="10"/>
  <c r="E35" i="10"/>
  <c r="E72" i="10"/>
  <c r="E80" i="10"/>
  <c r="E25" i="10"/>
  <c r="J5" i="10"/>
  <c r="E28" i="10"/>
  <c r="E78" i="10"/>
  <c r="E33" i="10"/>
  <c r="E60" i="10"/>
  <c r="E65" i="10"/>
  <c r="E64" i="10"/>
  <c r="E97" i="10"/>
  <c r="E73" i="10"/>
  <c r="E69" i="10"/>
  <c r="E90" i="10"/>
  <c r="E55" i="10"/>
  <c r="E91" i="10"/>
  <c r="E102" i="10"/>
  <c r="E51" i="10"/>
  <c r="E85" i="10"/>
  <c r="E113" i="10"/>
  <c r="E61" i="10"/>
  <c r="E63" i="10"/>
  <c r="E19" i="10"/>
  <c r="E98" i="10"/>
  <c r="E88" i="10"/>
  <c r="E115" i="10"/>
  <c r="E84" i="10"/>
  <c r="E111" i="10"/>
  <c r="E109" i="10"/>
  <c r="E32" i="10"/>
  <c r="E31" i="10"/>
  <c r="E116" i="10"/>
  <c r="E92" i="10"/>
  <c r="E62" i="10"/>
  <c r="E37" i="10"/>
  <c r="E87" i="10"/>
  <c r="E108" i="10"/>
  <c r="E67" i="10"/>
  <c r="E41" i="10"/>
  <c r="E104" i="10"/>
  <c r="E66" i="10"/>
  <c r="E110" i="10"/>
  <c r="E36" i="10"/>
  <c r="E89" i="10"/>
  <c r="E23" i="10"/>
  <c r="E79" i="10"/>
  <c r="E46" i="10"/>
  <c r="E17" i="10"/>
  <c r="E48" i="10"/>
  <c r="E75" i="10"/>
  <c r="E74" i="10"/>
  <c r="E101" i="10"/>
  <c r="E77" i="10"/>
  <c r="E56" i="10"/>
  <c r="E58" i="10"/>
  <c r="E103" i="10"/>
  <c r="E38" i="10"/>
  <c r="E52" i="10"/>
  <c r="E18" i="10"/>
  <c r="E21" i="10"/>
  <c r="N17" i="10" l="1"/>
  <c r="V17" i="10"/>
  <c r="Y17" i="10" s="1"/>
  <c r="O17" i="10"/>
  <c r="C17" i="10"/>
  <c r="F18" i="10"/>
  <c r="G18" i="10" s="1"/>
  <c r="J7" i="10"/>
  <c r="J9" i="10"/>
  <c r="I18" i="10"/>
  <c r="J18" i="10" s="1"/>
  <c r="K18" i="10" s="1"/>
  <c r="J8" i="10"/>
  <c r="E81" i="10"/>
  <c r="E83" i="10"/>
  <c r="E39" i="10"/>
  <c r="E27" i="10"/>
  <c r="E93" i="10"/>
  <c r="E43" i="10"/>
  <c r="E105" i="10"/>
  <c r="E68" i="10"/>
  <c r="E24" i="10"/>
  <c r="E82" i="10"/>
  <c r="E71" i="10"/>
  <c r="E107" i="10"/>
  <c r="E96" i="10"/>
  <c r="E57" i="10"/>
  <c r="E94" i="10"/>
  <c r="E49" i="10"/>
  <c r="E76" i="10"/>
  <c r="E40" i="10"/>
  <c r="E86" i="10"/>
  <c r="E44" i="10"/>
  <c r="E50" i="10"/>
  <c r="E53" i="10"/>
  <c r="E95" i="10"/>
  <c r="E34" i="10"/>
  <c r="E99" i="10"/>
  <c r="E29" i="10"/>
  <c r="E22" i="10"/>
  <c r="E54" i="10"/>
  <c r="E112" i="10"/>
  <c r="E30" i="10"/>
  <c r="E70" i="10"/>
  <c r="E59" i="10"/>
  <c r="M17" i="10" l="1"/>
  <c r="X17" i="10"/>
  <c r="Q17" i="10"/>
  <c r="S17" i="10" s="1"/>
  <c r="P17" i="10"/>
  <c r="I19" i="10"/>
  <c r="J19" i="10" s="1"/>
  <c r="K19" i="10" s="1"/>
  <c r="W17" i="10"/>
  <c r="AA17" i="10" s="1"/>
  <c r="B96" i="10"/>
  <c r="B114" i="10"/>
  <c r="B29" i="10"/>
  <c r="B18" i="10"/>
  <c r="C18" i="10" s="1"/>
  <c r="B65" i="10"/>
  <c r="B37" i="10"/>
  <c r="B76" i="10"/>
  <c r="B57" i="10"/>
  <c r="B38" i="10"/>
  <c r="B72" i="10"/>
  <c r="B20" i="10"/>
  <c r="B59" i="10"/>
  <c r="B25" i="10"/>
  <c r="B78" i="10"/>
  <c r="B71" i="10"/>
  <c r="B106" i="10"/>
  <c r="B92" i="10"/>
  <c r="B115" i="10"/>
  <c r="B64" i="10"/>
  <c r="B86" i="10"/>
  <c r="B42" i="10"/>
  <c r="B87" i="10"/>
  <c r="B90" i="10"/>
  <c r="B41" i="10"/>
  <c r="B94" i="10"/>
  <c r="B52" i="10"/>
  <c r="B34" i="10"/>
  <c r="B77" i="10"/>
  <c r="B99" i="10"/>
  <c r="B26" i="10"/>
  <c r="B95" i="10"/>
  <c r="B93" i="10"/>
  <c r="B98" i="10"/>
  <c r="B107" i="10"/>
  <c r="B44" i="10"/>
  <c r="B53" i="10"/>
  <c r="B100" i="10"/>
  <c r="B68" i="10"/>
  <c r="B48" i="10"/>
  <c r="B23" i="10"/>
  <c r="B54" i="10"/>
  <c r="B47" i="10"/>
  <c r="B91" i="10"/>
  <c r="B112" i="10"/>
  <c r="B35" i="10"/>
  <c r="B109" i="10"/>
  <c r="B97" i="10"/>
  <c r="B51" i="10"/>
  <c r="B88" i="10"/>
  <c r="B74" i="10"/>
  <c r="B56" i="10"/>
  <c r="B75" i="10"/>
  <c r="B21" i="10"/>
  <c r="B24" i="10"/>
  <c r="B30" i="10"/>
  <c r="B39" i="10"/>
  <c r="B27" i="10"/>
  <c r="B19" i="10"/>
  <c r="B66" i="10"/>
  <c r="B22" i="10"/>
  <c r="B105" i="10"/>
  <c r="B82" i="10"/>
  <c r="B60" i="10"/>
  <c r="B62" i="10"/>
  <c r="B58" i="10"/>
  <c r="B111" i="10"/>
  <c r="B80" i="10"/>
  <c r="B67" i="10"/>
  <c r="B31" i="10"/>
  <c r="B116" i="10"/>
  <c r="B104" i="10"/>
  <c r="B40" i="10"/>
  <c r="B108" i="10"/>
  <c r="B61" i="10"/>
  <c r="B85" i="10"/>
  <c r="B45" i="10"/>
  <c r="B46" i="10"/>
  <c r="B89" i="10"/>
  <c r="B49" i="10"/>
  <c r="B73" i="10"/>
  <c r="B110" i="10"/>
  <c r="B83" i="10"/>
  <c r="B81" i="10"/>
  <c r="B113" i="10"/>
  <c r="B33" i="10"/>
  <c r="B69" i="10"/>
  <c r="B70" i="10"/>
  <c r="B50" i="10"/>
  <c r="B84" i="10"/>
  <c r="B43" i="10"/>
  <c r="B36" i="10"/>
  <c r="B55" i="10"/>
  <c r="B79" i="10"/>
  <c r="B103" i="10"/>
  <c r="B102" i="10"/>
  <c r="B32" i="10"/>
  <c r="B101" i="10"/>
  <c r="B28" i="10"/>
  <c r="B63" i="10"/>
  <c r="F19" i="10"/>
  <c r="F20" i="10" s="1"/>
  <c r="F21" i="10" s="1"/>
  <c r="F22" i="10" s="1"/>
  <c r="F23" i="10" s="1"/>
  <c r="F24" i="10" s="1"/>
  <c r="F25" i="10" s="1"/>
  <c r="F26" i="10" s="1"/>
  <c r="F27" i="10" s="1"/>
  <c r="F28" i="10" s="1"/>
  <c r="F29" i="10" s="1"/>
  <c r="F30" i="10" s="1"/>
  <c r="F31" i="10" s="1"/>
  <c r="F32" i="10" s="1"/>
  <c r="F33" i="10" s="1"/>
  <c r="F34" i="10" s="1"/>
  <c r="F35" i="10" s="1"/>
  <c r="F36" i="10" s="1"/>
  <c r="F37" i="10" s="1"/>
  <c r="F38" i="10" s="1"/>
  <c r="F39" i="10" s="1"/>
  <c r="F40" i="10" s="1"/>
  <c r="F41" i="10" s="1"/>
  <c r="F42" i="10" s="1"/>
  <c r="F43" i="10" s="1"/>
  <c r="F44" i="10" s="1"/>
  <c r="F45" i="10" s="1"/>
  <c r="F46" i="10" s="1"/>
  <c r="F47" i="10" s="1"/>
  <c r="F48" i="10" s="1"/>
  <c r="F49" i="10" s="1"/>
  <c r="F50" i="10" s="1"/>
  <c r="F51" i="10" s="1"/>
  <c r="F52" i="10" s="1"/>
  <c r="F53" i="10" s="1"/>
  <c r="F54" i="10" s="1"/>
  <c r="F55" i="10" s="1"/>
  <c r="F56" i="10" s="1"/>
  <c r="F57" i="10" s="1"/>
  <c r="F58" i="10" s="1"/>
  <c r="F59" i="10" s="1"/>
  <c r="F60" i="10" s="1"/>
  <c r="F61" i="10" s="1"/>
  <c r="F62" i="10" s="1"/>
  <c r="F63" i="10" s="1"/>
  <c r="F64" i="10" s="1"/>
  <c r="F65" i="10" s="1"/>
  <c r="F66" i="10" s="1"/>
  <c r="F67" i="10" s="1"/>
  <c r="F68" i="10" s="1"/>
  <c r="F69" i="10" s="1"/>
  <c r="F70" i="10" s="1"/>
  <c r="F71" i="10" s="1"/>
  <c r="F72" i="10" s="1"/>
  <c r="F73" i="10" s="1"/>
  <c r="F74" i="10" s="1"/>
  <c r="F75" i="10" s="1"/>
  <c r="F76" i="10" s="1"/>
  <c r="F77" i="10" s="1"/>
  <c r="F78" i="10" s="1"/>
  <c r="F79" i="10" s="1"/>
  <c r="F80" i="10" s="1"/>
  <c r="F81" i="10" s="1"/>
  <c r="F82" i="10" s="1"/>
  <c r="F83" i="10" s="1"/>
  <c r="F84" i="10" s="1"/>
  <c r="F85" i="10" s="1"/>
  <c r="F86" i="10" s="1"/>
  <c r="F87" i="10" s="1"/>
  <c r="F88" i="10" s="1"/>
  <c r="F89" i="10" s="1"/>
  <c r="F90" i="10" s="1"/>
  <c r="F91" i="10" s="1"/>
  <c r="F92" i="10" s="1"/>
  <c r="F93" i="10" s="1"/>
  <c r="F94" i="10" s="1"/>
  <c r="F95" i="10" s="1"/>
  <c r="F96" i="10" s="1"/>
  <c r="F97" i="10" s="1"/>
  <c r="F98" i="10" s="1"/>
  <c r="F99" i="10" s="1"/>
  <c r="F100" i="10" s="1"/>
  <c r="F101" i="10" s="1"/>
  <c r="F102" i="10" s="1"/>
  <c r="F103" i="10" s="1"/>
  <c r="F104" i="10" s="1"/>
  <c r="F105" i="10" s="1"/>
  <c r="F106" i="10" s="1"/>
  <c r="F107" i="10" s="1"/>
  <c r="F108" i="10" s="1"/>
  <c r="F109" i="10" s="1"/>
  <c r="F110" i="10" s="1"/>
  <c r="F111" i="10" s="1"/>
  <c r="F112" i="10" s="1"/>
  <c r="F113" i="10" s="1"/>
  <c r="F114" i="10" s="1"/>
  <c r="F115" i="10" s="1"/>
  <c r="F116" i="10" s="1"/>
  <c r="O18" i="10"/>
  <c r="V18" i="10"/>
  <c r="Y18" i="10" s="1"/>
  <c r="N18" i="10"/>
  <c r="Y3" i="10" l="1"/>
  <c r="AB17" i="10"/>
  <c r="Q18" i="10"/>
  <c r="S18" i="10" s="1"/>
  <c r="T18" i="10" s="1"/>
  <c r="I20" i="10"/>
  <c r="J20" i="10" s="1"/>
  <c r="K20" i="10" s="1"/>
  <c r="C19" i="10"/>
  <c r="C20" i="10" s="1"/>
  <c r="C21" i="10" s="1"/>
  <c r="C22" i="10" s="1"/>
  <c r="C23" i="10" s="1"/>
  <c r="C24" i="10" s="1"/>
  <c r="C25" i="10" s="1"/>
  <c r="C26" i="10" s="1"/>
  <c r="C27" i="10" s="1"/>
  <c r="C28" i="10" s="1"/>
  <c r="C29" i="10" s="1"/>
  <c r="C30" i="10" s="1"/>
  <c r="C31" i="10" s="1"/>
  <c r="C32" i="10" s="1"/>
  <c r="C33" i="10" s="1"/>
  <c r="C34" i="10" s="1"/>
  <c r="C35" i="10" s="1"/>
  <c r="C36" i="10" s="1"/>
  <c r="C37" i="10" s="1"/>
  <c r="C38" i="10" s="1"/>
  <c r="C39" i="10" s="1"/>
  <c r="C40" i="10" s="1"/>
  <c r="C41" i="10" s="1"/>
  <c r="C42" i="10" s="1"/>
  <c r="C43" i="10" s="1"/>
  <c r="C44" i="10" s="1"/>
  <c r="C45" i="10" s="1"/>
  <c r="C46" i="10" s="1"/>
  <c r="C47" i="10" s="1"/>
  <c r="C48" i="10" s="1"/>
  <c r="C49" i="10" s="1"/>
  <c r="C50" i="10" s="1"/>
  <c r="C51" i="10" s="1"/>
  <c r="C52" i="10" s="1"/>
  <c r="C53" i="10" s="1"/>
  <c r="C54" i="10" s="1"/>
  <c r="C55" i="10" s="1"/>
  <c r="C56" i="10" s="1"/>
  <c r="C57" i="10" s="1"/>
  <c r="C58" i="10" s="1"/>
  <c r="C59" i="10" s="1"/>
  <c r="C60" i="10" s="1"/>
  <c r="C61" i="10" s="1"/>
  <c r="C62" i="10" s="1"/>
  <c r="C63" i="10" s="1"/>
  <c r="C64" i="10" s="1"/>
  <c r="M18" i="10"/>
  <c r="G19" i="10"/>
  <c r="G20" i="10" s="1"/>
  <c r="G21" i="10" s="1"/>
  <c r="G22" i="10" s="1"/>
  <c r="G23" i="10" s="1"/>
  <c r="G24" i="10" s="1"/>
  <c r="G25" i="10" s="1"/>
  <c r="G26" i="10" s="1"/>
  <c r="G27" i="10" s="1"/>
  <c r="G28" i="10" s="1"/>
  <c r="G29" i="10" s="1"/>
  <c r="G30" i="10" s="1"/>
  <c r="G31" i="10" s="1"/>
  <c r="G32" i="10" s="1"/>
  <c r="G33" i="10" s="1"/>
  <c r="G34" i="10" s="1"/>
  <c r="G35" i="10" s="1"/>
  <c r="G36" i="10" s="1"/>
  <c r="G37" i="10" s="1"/>
  <c r="G38" i="10" s="1"/>
  <c r="G39" i="10" s="1"/>
  <c r="G40" i="10" s="1"/>
  <c r="G41" i="10" s="1"/>
  <c r="G42" i="10" s="1"/>
  <c r="G43" i="10" s="1"/>
  <c r="G44" i="10" s="1"/>
  <c r="G45" i="10" s="1"/>
  <c r="G46" i="10" s="1"/>
  <c r="G47" i="10" s="1"/>
  <c r="G48" i="10" s="1"/>
  <c r="G49" i="10" s="1"/>
  <c r="G50" i="10" s="1"/>
  <c r="G51" i="10" s="1"/>
  <c r="G52" i="10" s="1"/>
  <c r="G53" i="10" s="1"/>
  <c r="G54" i="10" s="1"/>
  <c r="G55" i="10" s="1"/>
  <c r="G56" i="10" s="1"/>
  <c r="G57" i="10" s="1"/>
  <c r="G58" i="10" s="1"/>
  <c r="G59" i="10" s="1"/>
  <c r="G60" i="10" s="1"/>
  <c r="G61" i="10" s="1"/>
  <c r="G62" i="10" s="1"/>
  <c r="G63" i="10" s="1"/>
  <c r="G64" i="10" s="1"/>
  <c r="G65" i="10" s="1"/>
  <c r="G66" i="10" s="1"/>
  <c r="G67" i="10" s="1"/>
  <c r="G68" i="10" s="1"/>
  <c r="G69" i="10" s="1"/>
  <c r="G70" i="10" s="1"/>
  <c r="G71" i="10" s="1"/>
  <c r="G72" i="10" s="1"/>
  <c r="G73" i="10" s="1"/>
  <c r="G74" i="10" s="1"/>
  <c r="G75" i="10" s="1"/>
  <c r="G76" i="10" s="1"/>
  <c r="G77" i="10" s="1"/>
  <c r="G78" i="10" s="1"/>
  <c r="G79" i="10" s="1"/>
  <c r="G80" i="10" s="1"/>
  <c r="G81" i="10" s="1"/>
  <c r="G82" i="10" s="1"/>
  <c r="G83" i="10" s="1"/>
  <c r="G84" i="10" s="1"/>
  <c r="G85" i="10" s="1"/>
  <c r="G86" i="10" s="1"/>
  <c r="G87" i="10" s="1"/>
  <c r="G88" i="10" s="1"/>
  <c r="G89" i="10" s="1"/>
  <c r="G90" i="10" s="1"/>
  <c r="G91" i="10" s="1"/>
  <c r="G92" i="10" s="1"/>
  <c r="G93" i="10" s="1"/>
  <c r="G94" i="10" s="1"/>
  <c r="G95" i="10" s="1"/>
  <c r="G96" i="10" s="1"/>
  <c r="G97" i="10" s="1"/>
  <c r="G98" i="10" s="1"/>
  <c r="G99" i="10" s="1"/>
  <c r="G100" i="10" s="1"/>
  <c r="G101" i="10" s="1"/>
  <c r="G102" i="10" s="1"/>
  <c r="G103" i="10" s="1"/>
  <c r="G104" i="10" s="1"/>
  <c r="G105" i="10" s="1"/>
  <c r="G106" i="10" s="1"/>
  <c r="G107" i="10" s="1"/>
  <c r="G108" i="10" s="1"/>
  <c r="G109" i="10" s="1"/>
  <c r="G110" i="10" s="1"/>
  <c r="G111" i="10" s="1"/>
  <c r="G112" i="10" s="1"/>
  <c r="G113" i="10" s="1"/>
  <c r="G114" i="10" s="1"/>
  <c r="G115" i="10" s="1"/>
  <c r="G116" i="10" s="1"/>
  <c r="V19" i="10"/>
  <c r="Y19" i="10" s="1"/>
  <c r="N19" i="10"/>
  <c r="P18" i="10"/>
  <c r="W18" i="10"/>
  <c r="AA18" i="10" s="1"/>
  <c r="X18" i="10"/>
  <c r="C65" i="10" l="1"/>
  <c r="C66" i="10" s="1"/>
  <c r="C67" i="10" s="1"/>
  <c r="C68" i="10" s="1"/>
  <c r="C69" i="10" s="1"/>
  <c r="C70" i="10" s="1"/>
  <c r="C71" i="10" s="1"/>
  <c r="C72" i="10" s="1"/>
  <c r="C73" i="10" s="1"/>
  <c r="C74" i="10" s="1"/>
  <c r="C75" i="10" s="1"/>
  <c r="C76" i="10" s="1"/>
  <c r="C77" i="10" s="1"/>
  <c r="C78" i="10" s="1"/>
  <c r="C79" i="10" s="1"/>
  <c r="C80" i="10" s="1"/>
  <c r="C81" i="10" s="1"/>
  <c r="C82" i="10" s="1"/>
  <c r="C83" i="10" s="1"/>
  <c r="C84" i="10" s="1"/>
  <c r="C85" i="10" s="1"/>
  <c r="C86" i="10" s="1"/>
  <c r="C87" i="10" s="1"/>
  <c r="C88" i="10" s="1"/>
  <c r="C89" i="10" s="1"/>
  <c r="C90" i="10" s="1"/>
  <c r="C91" i="10" s="1"/>
  <c r="C92" i="10" s="1"/>
  <c r="C93" i="10" s="1"/>
  <c r="C94" i="10" s="1"/>
  <c r="C95" i="10" s="1"/>
  <c r="C96" i="10" s="1"/>
  <c r="C97" i="10" s="1"/>
  <c r="C98" i="10" s="1"/>
  <c r="C99" i="10" s="1"/>
  <c r="C100" i="10" s="1"/>
  <c r="C101" i="10" s="1"/>
  <c r="C102" i="10" s="1"/>
  <c r="C103" i="10" s="1"/>
  <c r="C104" i="10" s="1"/>
  <c r="C105" i="10" s="1"/>
  <c r="C106" i="10" s="1"/>
  <c r="C107" i="10" s="1"/>
  <c r="C108" i="10" s="1"/>
  <c r="C109" i="10" s="1"/>
  <c r="C110" i="10" s="1"/>
  <c r="C111" i="10" s="1"/>
  <c r="C112" i="10" s="1"/>
  <c r="C113" i="10" s="1"/>
  <c r="C114" i="10" s="1"/>
  <c r="C115" i="10" s="1"/>
  <c r="C116" i="10" s="1"/>
  <c r="R18" i="10"/>
  <c r="M19" i="10"/>
  <c r="I21" i="10"/>
  <c r="J21" i="10" s="1"/>
  <c r="K21" i="10" s="1"/>
  <c r="AC17" i="10"/>
  <c r="AD17" i="10" s="1"/>
  <c r="O19" i="10"/>
  <c r="N20" i="10"/>
  <c r="M20" i="10" s="1"/>
  <c r="V20" i="10"/>
  <c r="Y20" i="10" s="1"/>
  <c r="AB18" i="10"/>
  <c r="O20" i="10" l="1"/>
  <c r="O21" i="10" s="1"/>
  <c r="Q19" i="10"/>
  <c r="I22" i="10"/>
  <c r="J22" i="10" s="1"/>
  <c r="K22" i="10" s="1"/>
  <c r="AC18" i="10"/>
  <c r="P19" i="10"/>
  <c r="X19" i="10"/>
  <c r="W19" i="10"/>
  <c r="AA19" i="10" s="1"/>
  <c r="N21" i="10"/>
  <c r="M21" i="10" s="1"/>
  <c r="V21" i="10"/>
  <c r="Y21" i="10" s="1"/>
  <c r="AD18" i="10" l="1"/>
  <c r="W20" i="10"/>
  <c r="X20" i="10"/>
  <c r="AB19" i="10"/>
  <c r="S19" i="10"/>
  <c r="R19" i="10"/>
  <c r="P20" i="10"/>
  <c r="Q20" i="10"/>
  <c r="P21" i="10"/>
  <c r="Q21" i="10"/>
  <c r="I23" i="10"/>
  <c r="J23" i="10" s="1"/>
  <c r="K23" i="10" s="1"/>
  <c r="O22" i="10"/>
  <c r="X21" i="10"/>
  <c r="W21" i="10"/>
  <c r="N22" i="10"/>
  <c r="M22" i="10" s="1"/>
  <c r="V22" i="10"/>
  <c r="Y22" i="10" s="1"/>
  <c r="AB20" i="10" l="1"/>
  <c r="AA20" i="10"/>
  <c r="AB21" i="10"/>
  <c r="AA21" i="10"/>
  <c r="AC21" i="10" s="1"/>
  <c r="AD21" i="10" s="1"/>
  <c r="T19" i="10"/>
  <c r="Q22" i="10"/>
  <c r="S22" i="10" s="1"/>
  <c r="T22" i="10" s="1"/>
  <c r="S21" i="10"/>
  <c r="T21" i="10" s="1"/>
  <c r="R21" i="10"/>
  <c r="S20" i="10"/>
  <c r="T20" i="10" s="1"/>
  <c r="R20" i="10"/>
  <c r="I24" i="10"/>
  <c r="J24" i="10" s="1"/>
  <c r="K24" i="10" s="1"/>
  <c r="AC19" i="10"/>
  <c r="O23" i="10"/>
  <c r="P22" i="10"/>
  <c r="X22" i="10"/>
  <c r="N23" i="10"/>
  <c r="M23" i="10" s="1"/>
  <c r="V23" i="10"/>
  <c r="Y23" i="10" s="1"/>
  <c r="W22" i="10"/>
  <c r="AC20" i="10" l="1"/>
  <c r="AD20" i="10" s="1"/>
  <c r="AD19" i="10"/>
  <c r="R22" i="10"/>
  <c r="P23" i="10"/>
  <c r="Q23" i="10"/>
  <c r="I25" i="10"/>
  <c r="J25" i="10" s="1"/>
  <c r="O24" i="10"/>
  <c r="AB22" i="10"/>
  <c r="AA22" i="10"/>
  <c r="W23" i="10"/>
  <c r="X23" i="10"/>
  <c r="V24" i="10"/>
  <c r="Y24" i="10" s="1"/>
  <c r="N24" i="10"/>
  <c r="M24" i="10" s="1"/>
  <c r="S23" i="10" l="1"/>
  <c r="T23" i="10" s="1"/>
  <c r="R23" i="10"/>
  <c r="P24" i="10"/>
  <c r="Q24" i="10"/>
  <c r="I26" i="10"/>
  <c r="J26" i="10" s="1"/>
  <c r="O25" i="10"/>
  <c r="AC22" i="10"/>
  <c r="X24" i="10"/>
  <c r="W24" i="10"/>
  <c r="AB24" i="10" s="1"/>
  <c r="K25" i="10"/>
  <c r="AB23" i="10"/>
  <c r="AA23" i="10"/>
  <c r="AD22" i="10" l="1"/>
  <c r="S24" i="10"/>
  <c r="T24" i="10" s="1"/>
  <c r="R24" i="10"/>
  <c r="P25" i="10"/>
  <c r="I27" i="10"/>
  <c r="J27" i="10" s="1"/>
  <c r="AC23" i="10"/>
  <c r="AD23" i="10" s="1"/>
  <c r="AA24" i="10"/>
  <c r="V25" i="10"/>
  <c r="N25" i="10"/>
  <c r="Q25" i="10" s="1"/>
  <c r="K26" i="10"/>
  <c r="O26" i="10"/>
  <c r="S25" i="10" l="1"/>
  <c r="T25" i="10" s="1"/>
  <c r="R25" i="10"/>
  <c r="I28" i="10"/>
  <c r="J28" i="10" s="1"/>
  <c r="AC24" i="10"/>
  <c r="AD24" i="10" s="1"/>
  <c r="P26" i="10"/>
  <c r="M25" i="10"/>
  <c r="V26" i="10"/>
  <c r="Y26" i="10" s="1"/>
  <c r="K27" i="10"/>
  <c r="N26" i="10"/>
  <c r="M26" i="10" s="1"/>
  <c r="O27" i="10"/>
  <c r="Y25" i="10"/>
  <c r="W25" i="10"/>
  <c r="X25" i="10"/>
  <c r="Q26" i="10" l="1"/>
  <c r="S26" i="10" s="1"/>
  <c r="T26" i="10" s="1"/>
  <c r="I29" i="10"/>
  <c r="I30" i="10" s="1"/>
  <c r="P27" i="10"/>
  <c r="AA25" i="10"/>
  <c r="AB25" i="10"/>
  <c r="V27" i="10"/>
  <c r="Y27" i="10" s="1"/>
  <c r="N27" i="10"/>
  <c r="M27" i="10" s="1"/>
  <c r="K28" i="10"/>
  <c r="O28" i="10"/>
  <c r="W26" i="10"/>
  <c r="X26" i="10"/>
  <c r="R26" i="10" l="1"/>
  <c r="Q27" i="10"/>
  <c r="S27" i="10" s="1"/>
  <c r="T27" i="10" s="1"/>
  <c r="J29" i="10"/>
  <c r="K29" i="10" s="1"/>
  <c r="AC25" i="10"/>
  <c r="AD25" i="10" s="1"/>
  <c r="AB26" i="10"/>
  <c r="AA26" i="10"/>
  <c r="AC26" i="10" s="1"/>
  <c r="AD26" i="10" s="1"/>
  <c r="V28" i="10"/>
  <c r="Y28" i="10" s="1"/>
  <c r="N28" i="10"/>
  <c r="M28" i="10" s="1"/>
  <c r="X27" i="10"/>
  <c r="P28" i="10"/>
  <c r="J30" i="10"/>
  <c r="I31" i="10"/>
  <c r="W27" i="10"/>
  <c r="R27" i="10" l="1"/>
  <c r="Q28" i="10"/>
  <c r="O29" i="10"/>
  <c r="W28" i="10"/>
  <c r="AA28" i="10" s="1"/>
  <c r="AC28" i="10" s="1"/>
  <c r="AD28" i="10" s="1"/>
  <c r="X28" i="10"/>
  <c r="AB27" i="10"/>
  <c r="AA27" i="10"/>
  <c r="AC27" i="10" s="1"/>
  <c r="AD27" i="10" s="1"/>
  <c r="J31" i="10"/>
  <c r="I32" i="10"/>
  <c r="N29" i="10"/>
  <c r="M29" i="10" s="1"/>
  <c r="V29" i="10"/>
  <c r="Y29" i="10" s="1"/>
  <c r="K30" i="10"/>
  <c r="O30" i="10" l="1"/>
  <c r="P30" i="10" s="1"/>
  <c r="Q29" i="10"/>
  <c r="S28" i="10"/>
  <c r="T28" i="10" s="1"/>
  <c r="R28" i="10"/>
  <c r="P29" i="10"/>
  <c r="AB28" i="10"/>
  <c r="X29" i="10"/>
  <c r="J32" i="10"/>
  <c r="I33" i="10"/>
  <c r="W29" i="10"/>
  <c r="K31" i="10"/>
  <c r="N30" i="10"/>
  <c r="M30" i="10" s="1"/>
  <c r="V30" i="10"/>
  <c r="Y30" i="10" s="1"/>
  <c r="O31" i="10" l="1"/>
  <c r="P31" i="10" s="1"/>
  <c r="S29" i="10"/>
  <c r="T29" i="10" s="1"/>
  <c r="R29" i="10"/>
  <c r="Q30" i="10"/>
  <c r="W30" i="10"/>
  <c r="V31" i="10"/>
  <c r="Y31" i="10" s="1"/>
  <c r="K32" i="10"/>
  <c r="N31" i="10"/>
  <c r="M31" i="10" s="1"/>
  <c r="J33" i="10"/>
  <c r="I34" i="10"/>
  <c r="AB29" i="10"/>
  <c r="AA29" i="10"/>
  <c r="X30" i="10"/>
  <c r="O32" i="10" l="1"/>
  <c r="P32" i="10" s="1"/>
  <c r="S30" i="10"/>
  <c r="T30" i="10" s="1"/>
  <c r="R30" i="10"/>
  <c r="Q31" i="10"/>
  <c r="AC29" i="10"/>
  <c r="AD29" i="10" s="1"/>
  <c r="X31" i="10"/>
  <c r="W31" i="10"/>
  <c r="AB31" i="10" s="1"/>
  <c r="K33" i="10"/>
  <c r="N32" i="10"/>
  <c r="M32" i="10" s="1"/>
  <c r="V32" i="10"/>
  <c r="Y32" i="10" s="1"/>
  <c r="J34" i="10"/>
  <c r="I35" i="10"/>
  <c r="AA30" i="10"/>
  <c r="AC30" i="10" s="1"/>
  <c r="AD30" i="10" s="1"/>
  <c r="AB30" i="10"/>
  <c r="O33" i="10" l="1"/>
  <c r="O34" i="10" s="1"/>
  <c r="Q32" i="10"/>
  <c r="S32" i="10" s="1"/>
  <c r="T32" i="10" s="1"/>
  <c r="S31" i="10"/>
  <c r="T31" i="10" s="1"/>
  <c r="R31" i="10"/>
  <c r="W32" i="10"/>
  <c r="AB32" i="10" s="1"/>
  <c r="AA31" i="10"/>
  <c r="AC31" i="10" s="1"/>
  <c r="AD31" i="10" s="1"/>
  <c r="X32" i="10"/>
  <c r="K34" i="10"/>
  <c r="N33" i="10"/>
  <c r="M33" i="10" s="1"/>
  <c r="V33" i="10"/>
  <c r="Y33" i="10" s="1"/>
  <c r="J35" i="10"/>
  <c r="I36" i="10"/>
  <c r="P33" i="10" l="1"/>
  <c r="R32" i="10"/>
  <c r="Q33" i="10"/>
  <c r="S33" i="10" s="1"/>
  <c r="T33" i="10" s="1"/>
  <c r="AA32" i="10"/>
  <c r="AC32" i="10" s="1"/>
  <c r="AD32" i="10" s="1"/>
  <c r="W33" i="10"/>
  <c r="AB33" i="10" s="1"/>
  <c r="X33" i="10"/>
  <c r="P34" i="10"/>
  <c r="J36" i="10"/>
  <c r="I37" i="10"/>
  <c r="V34" i="10"/>
  <c r="Y34" i="10" s="1"/>
  <c r="N34" i="10"/>
  <c r="M34" i="10" s="1"/>
  <c r="K35" i="10"/>
  <c r="O35" i="10"/>
  <c r="R33" i="10" l="1"/>
  <c r="Q34" i="10"/>
  <c r="AA33" i="10"/>
  <c r="AC33" i="10" s="1"/>
  <c r="AD33" i="10" s="1"/>
  <c r="P35" i="10"/>
  <c r="V35" i="10"/>
  <c r="Y35" i="10" s="1"/>
  <c r="N35" i="10"/>
  <c r="M35" i="10" s="1"/>
  <c r="K36" i="10"/>
  <c r="O36" i="10"/>
  <c r="W34" i="10"/>
  <c r="J37" i="10"/>
  <c r="I38" i="10"/>
  <c r="X34" i="10"/>
  <c r="R34" i="10" l="1"/>
  <c r="S34" i="10"/>
  <c r="T34" i="10" s="1"/>
  <c r="Q35" i="10"/>
  <c r="X35" i="10"/>
  <c r="AA34" i="10"/>
  <c r="AC34" i="10" s="1"/>
  <c r="AD34" i="10" s="1"/>
  <c r="AB34" i="10"/>
  <c r="P36" i="10"/>
  <c r="J38" i="10"/>
  <c r="I39" i="10"/>
  <c r="V36" i="10"/>
  <c r="Y36" i="10" s="1"/>
  <c r="K37" i="10"/>
  <c r="N36" i="10"/>
  <c r="M36" i="10" s="1"/>
  <c r="O37" i="10"/>
  <c r="W35" i="10"/>
  <c r="Q36" i="10" l="1"/>
  <c r="S36" i="10" s="1"/>
  <c r="T36" i="10" s="1"/>
  <c r="R35" i="10"/>
  <c r="S35" i="10"/>
  <c r="T35" i="10" s="1"/>
  <c r="X36" i="10"/>
  <c r="K38" i="10"/>
  <c r="N37" i="10"/>
  <c r="M37" i="10" s="1"/>
  <c r="V37" i="10"/>
  <c r="Y37" i="10" s="1"/>
  <c r="O38" i="10"/>
  <c r="AB35" i="10"/>
  <c r="AA35" i="10"/>
  <c r="AC35" i="10" s="1"/>
  <c r="AD35" i="10" s="1"/>
  <c r="W36" i="10"/>
  <c r="P37" i="10"/>
  <c r="J39" i="10"/>
  <c r="I40" i="10"/>
  <c r="R36" i="10" l="1"/>
  <c r="Q37" i="10"/>
  <c r="W37" i="10"/>
  <c r="AB37" i="10" s="1"/>
  <c r="X37" i="10"/>
  <c r="P38" i="10"/>
  <c r="J40" i="10"/>
  <c r="I41" i="10"/>
  <c r="AA36" i="10"/>
  <c r="AC36" i="10" s="1"/>
  <c r="AD36" i="10" s="1"/>
  <c r="AB36" i="10"/>
  <c r="V38" i="10"/>
  <c r="Y38" i="10" s="1"/>
  <c r="K39" i="10"/>
  <c r="N38" i="10"/>
  <c r="M38" i="10" s="1"/>
  <c r="O39" i="10"/>
  <c r="S37" i="10" l="1"/>
  <c r="T37" i="10" s="1"/>
  <c r="R37" i="10"/>
  <c r="Q38" i="10"/>
  <c r="AA37" i="10"/>
  <c r="AC37" i="10" s="1"/>
  <c r="AD37" i="10" s="1"/>
  <c r="K40" i="10"/>
  <c r="N39" i="10"/>
  <c r="M39" i="10" s="1"/>
  <c r="V39" i="10"/>
  <c r="Y39" i="10" s="1"/>
  <c r="O40" i="10"/>
  <c r="X38" i="10"/>
  <c r="P39" i="10"/>
  <c r="W38" i="10"/>
  <c r="AB38" i="10" s="1"/>
  <c r="J41" i="10"/>
  <c r="I42" i="10"/>
  <c r="Q39" i="10" l="1"/>
  <c r="R38" i="10"/>
  <c r="S38" i="10"/>
  <c r="T38" i="10" s="1"/>
  <c r="P40" i="10"/>
  <c r="X39" i="10"/>
  <c r="J42" i="10"/>
  <c r="I43" i="10"/>
  <c r="AA38" i="10"/>
  <c r="AC38" i="10" s="1"/>
  <c r="AD38" i="10" s="1"/>
  <c r="W39" i="10"/>
  <c r="K41" i="10"/>
  <c r="N40" i="10"/>
  <c r="M40" i="10" s="1"/>
  <c r="V40" i="10"/>
  <c r="Y40" i="10" s="1"/>
  <c r="O41" i="10"/>
  <c r="Q40" i="10" l="1"/>
  <c r="S40" i="10" s="1"/>
  <c r="T40" i="10" s="1"/>
  <c r="R39" i="10"/>
  <c r="S39" i="10"/>
  <c r="T39" i="10" s="1"/>
  <c r="X40" i="10"/>
  <c r="K42" i="10"/>
  <c r="V41" i="10"/>
  <c r="Y41" i="10" s="1"/>
  <c r="N41" i="10"/>
  <c r="M41" i="10" s="1"/>
  <c r="O42" i="10"/>
  <c r="P41" i="10"/>
  <c r="AA39" i="10"/>
  <c r="AC39" i="10" s="1"/>
  <c r="AD39" i="10" s="1"/>
  <c r="AB39" i="10"/>
  <c r="J43" i="10"/>
  <c r="I44" i="10"/>
  <c r="W40" i="10"/>
  <c r="R40" i="10" l="1"/>
  <c r="Q41" i="10"/>
  <c r="W41" i="10"/>
  <c r="AB41" i="10" s="1"/>
  <c r="X41" i="10"/>
  <c r="P42" i="10"/>
  <c r="AB40" i="10"/>
  <c r="AA40" i="10"/>
  <c r="AC40" i="10" s="1"/>
  <c r="AD40" i="10" s="1"/>
  <c r="J44" i="10"/>
  <c r="I45" i="10"/>
  <c r="K43" i="10"/>
  <c r="V42" i="10"/>
  <c r="Y42" i="10" s="1"/>
  <c r="N42" i="10"/>
  <c r="M42" i="10" s="1"/>
  <c r="O43" i="10"/>
  <c r="S41" i="10" l="1"/>
  <c r="T41" i="10" s="1"/>
  <c r="R41" i="10"/>
  <c r="Q42" i="10"/>
  <c r="AA41" i="10"/>
  <c r="AC41" i="10" s="1"/>
  <c r="AD41" i="10" s="1"/>
  <c r="W42" i="10"/>
  <c r="AA42" i="10" s="1"/>
  <c r="AC42" i="10" s="1"/>
  <c r="AD42" i="10" s="1"/>
  <c r="P43" i="10"/>
  <c r="X42" i="10"/>
  <c r="N43" i="10"/>
  <c r="M43" i="10" s="1"/>
  <c r="V43" i="10"/>
  <c r="Y43" i="10" s="1"/>
  <c r="K44" i="10"/>
  <c r="O44" i="10"/>
  <c r="J45" i="10"/>
  <c r="I46" i="10"/>
  <c r="Q43" i="10" l="1"/>
  <c r="R43" i="10" s="1"/>
  <c r="S42" i="10"/>
  <c r="T42" i="10" s="1"/>
  <c r="R42" i="10"/>
  <c r="AB42" i="10"/>
  <c r="W43" i="10"/>
  <c r="J46" i="10"/>
  <c r="I47" i="10"/>
  <c r="V44" i="10"/>
  <c r="Y44" i="10" s="1"/>
  <c r="K45" i="10"/>
  <c r="N44" i="10"/>
  <c r="M44" i="10" s="1"/>
  <c r="O45" i="10"/>
  <c r="P44" i="10"/>
  <c r="X43" i="10"/>
  <c r="S43" i="10" l="1"/>
  <c r="T43" i="10" s="1"/>
  <c r="Q44" i="10"/>
  <c r="X44" i="10"/>
  <c r="W44" i="10"/>
  <c r="AA44" i="10" s="1"/>
  <c r="AC44" i="10" s="1"/>
  <c r="AD44" i="10" s="1"/>
  <c r="V45" i="10"/>
  <c r="Y45" i="10" s="1"/>
  <c r="K46" i="10"/>
  <c r="N45" i="10"/>
  <c r="M45" i="10" s="1"/>
  <c r="O46" i="10"/>
  <c r="AB43" i="10"/>
  <c r="AA43" i="10"/>
  <c r="AC43" i="10" s="1"/>
  <c r="AD43" i="10" s="1"/>
  <c r="P45" i="10"/>
  <c r="J47" i="10"/>
  <c r="I48" i="10"/>
  <c r="Q45" i="10" l="1"/>
  <c r="S44" i="10"/>
  <c r="T44" i="10" s="1"/>
  <c r="R44" i="10"/>
  <c r="X45" i="10"/>
  <c r="W45" i="10"/>
  <c r="AB45" i="10" s="1"/>
  <c r="AB44" i="10"/>
  <c r="J48" i="10"/>
  <c r="I49" i="10"/>
  <c r="V46" i="10"/>
  <c r="Y46" i="10" s="1"/>
  <c r="K47" i="10"/>
  <c r="N46" i="10"/>
  <c r="M46" i="10" s="1"/>
  <c r="O47" i="10"/>
  <c r="P46" i="10"/>
  <c r="S45" i="10" l="1"/>
  <c r="T45" i="10" s="1"/>
  <c r="R45" i="10"/>
  <c r="Q46" i="10"/>
  <c r="AA45" i="10"/>
  <c r="AC45" i="10" s="1"/>
  <c r="AD45" i="10" s="1"/>
  <c r="P47" i="10"/>
  <c r="J49" i="10"/>
  <c r="I50" i="10"/>
  <c r="N47" i="10"/>
  <c r="M47" i="10" s="1"/>
  <c r="K48" i="10"/>
  <c r="V47" i="10"/>
  <c r="Y47" i="10" s="1"/>
  <c r="O48" i="10"/>
  <c r="X46" i="10"/>
  <c r="W46" i="10"/>
  <c r="Q47" i="10" l="1"/>
  <c r="R47" i="10" s="1"/>
  <c r="S46" i="10"/>
  <c r="T46" i="10" s="1"/>
  <c r="R46" i="10"/>
  <c r="X47" i="10"/>
  <c r="J50" i="10"/>
  <c r="I51" i="10"/>
  <c r="AB46" i="10"/>
  <c r="AA46" i="10"/>
  <c r="AC46" i="10" s="1"/>
  <c r="AD46" i="10" s="1"/>
  <c r="V48" i="10"/>
  <c r="Y48" i="10" s="1"/>
  <c r="N48" i="10"/>
  <c r="M48" i="10" s="1"/>
  <c r="K49" i="10"/>
  <c r="O49" i="10"/>
  <c r="W47" i="10"/>
  <c r="P48" i="10"/>
  <c r="S47" i="10" l="1"/>
  <c r="T47" i="10" s="1"/>
  <c r="Q48" i="10"/>
  <c r="X48" i="10"/>
  <c r="W48" i="10"/>
  <c r="AA48" i="10" s="1"/>
  <c r="AC48" i="10" s="1"/>
  <c r="AD48" i="10" s="1"/>
  <c r="N49" i="10"/>
  <c r="M49" i="10" s="1"/>
  <c r="V49" i="10"/>
  <c r="Y49" i="10" s="1"/>
  <c r="K50" i="10"/>
  <c r="O50" i="10"/>
  <c r="J51" i="10"/>
  <c r="I52" i="10"/>
  <c r="P49" i="10"/>
  <c r="AB47" i="10"/>
  <c r="AA47" i="10"/>
  <c r="AC47" i="10" s="1"/>
  <c r="AD47" i="10" s="1"/>
  <c r="S48" i="10" l="1"/>
  <c r="T48" i="10" s="1"/>
  <c r="R48" i="10"/>
  <c r="Q49" i="10"/>
  <c r="W49" i="10"/>
  <c r="AB49" i="10" s="1"/>
  <c r="X49" i="10"/>
  <c r="AB48" i="10"/>
  <c r="P50" i="10"/>
  <c r="N50" i="10"/>
  <c r="M50" i="10" s="1"/>
  <c r="V50" i="10"/>
  <c r="Y50" i="10" s="1"/>
  <c r="K51" i="10"/>
  <c r="O51" i="10"/>
  <c r="J52" i="10"/>
  <c r="I53" i="10"/>
  <c r="S49" i="10" l="1"/>
  <c r="T49" i="10" s="1"/>
  <c r="R49" i="10"/>
  <c r="Q50" i="10"/>
  <c r="AA49" i="10"/>
  <c r="AC49" i="10" s="1"/>
  <c r="AD49" i="10" s="1"/>
  <c r="J53" i="10"/>
  <c r="I54" i="10"/>
  <c r="W50" i="10"/>
  <c r="P51" i="10"/>
  <c r="X50" i="10"/>
  <c r="V51" i="10"/>
  <c r="Y51" i="10" s="1"/>
  <c r="K52" i="10"/>
  <c r="N51" i="10"/>
  <c r="M51" i="10" s="1"/>
  <c r="O52" i="10"/>
  <c r="Q51" i="10" l="1"/>
  <c r="S51" i="10" s="1"/>
  <c r="T51" i="10" s="1"/>
  <c r="S50" i="10"/>
  <c r="T50" i="10" s="1"/>
  <c r="R50" i="10"/>
  <c r="P52" i="10"/>
  <c r="X51" i="10"/>
  <c r="AB50" i="10"/>
  <c r="AA50" i="10"/>
  <c r="AC50" i="10" s="1"/>
  <c r="AD50" i="10" s="1"/>
  <c r="J54" i="10"/>
  <c r="I55" i="10"/>
  <c r="K53" i="10"/>
  <c r="V52" i="10"/>
  <c r="Y52" i="10" s="1"/>
  <c r="N52" i="10"/>
  <c r="M52" i="10" s="1"/>
  <c r="O53" i="10"/>
  <c r="W51" i="10"/>
  <c r="R51" i="10" l="1"/>
  <c r="Q52" i="10"/>
  <c r="S52" i="10" s="1"/>
  <c r="T52" i="10" s="1"/>
  <c r="V53" i="10"/>
  <c r="Y53" i="10" s="1"/>
  <c r="N53" i="10"/>
  <c r="M53" i="10" s="1"/>
  <c r="K54" i="10"/>
  <c r="O54" i="10"/>
  <c r="P53" i="10"/>
  <c r="J55" i="10"/>
  <c r="I56" i="10"/>
  <c r="X52" i="10"/>
  <c r="AB51" i="10"/>
  <c r="AA51" i="10"/>
  <c r="AC51" i="10" s="1"/>
  <c r="AD51" i="10" s="1"/>
  <c r="W52" i="10"/>
  <c r="R52" i="10" l="1"/>
  <c r="Q53" i="10"/>
  <c r="X53" i="10"/>
  <c r="W53" i="10"/>
  <c r="AA53" i="10" s="1"/>
  <c r="AC53" i="10" s="1"/>
  <c r="AD53" i="10" s="1"/>
  <c r="P54" i="10"/>
  <c r="AB52" i="10"/>
  <c r="AA52" i="10"/>
  <c r="AC52" i="10" s="1"/>
  <c r="AD52" i="10" s="1"/>
  <c r="N54" i="10"/>
  <c r="M54" i="10" s="1"/>
  <c r="K55" i="10"/>
  <c r="V54" i="10"/>
  <c r="Y54" i="10" s="1"/>
  <c r="O55" i="10"/>
  <c r="J56" i="10"/>
  <c r="I57" i="10"/>
  <c r="S53" i="10" l="1"/>
  <c r="T53" i="10" s="1"/>
  <c r="R53" i="10"/>
  <c r="Q54" i="10"/>
  <c r="AB53" i="10"/>
  <c r="J57" i="10"/>
  <c r="I58" i="10"/>
  <c r="K56" i="10"/>
  <c r="V55" i="10"/>
  <c r="Y55" i="10" s="1"/>
  <c r="N55" i="10"/>
  <c r="M55" i="10" s="1"/>
  <c r="O56" i="10"/>
  <c r="P55" i="10"/>
  <c r="X54" i="10"/>
  <c r="W54" i="10"/>
  <c r="Q55" i="10" l="1"/>
  <c r="R55" i="10" s="1"/>
  <c r="R54" i="10"/>
  <c r="S54" i="10"/>
  <c r="T54" i="10" s="1"/>
  <c r="X55" i="10"/>
  <c r="W55" i="10"/>
  <c r="AB55" i="10" s="1"/>
  <c r="AA54" i="10"/>
  <c r="AC54" i="10" s="1"/>
  <c r="AD54" i="10" s="1"/>
  <c r="AB54" i="10"/>
  <c r="V56" i="10"/>
  <c r="Y56" i="10" s="1"/>
  <c r="N56" i="10"/>
  <c r="M56" i="10" s="1"/>
  <c r="K57" i="10"/>
  <c r="O57" i="10"/>
  <c r="P56" i="10"/>
  <c r="J58" i="10"/>
  <c r="I59" i="10"/>
  <c r="S55" i="10" l="1"/>
  <c r="T55" i="10" s="1"/>
  <c r="Q56" i="10"/>
  <c r="AA55" i="10"/>
  <c r="AC55" i="10" s="1"/>
  <c r="AD55" i="10" s="1"/>
  <c r="X56" i="10"/>
  <c r="W56" i="10"/>
  <c r="AA56" i="10" s="1"/>
  <c r="AC56" i="10" s="1"/>
  <c r="AD56" i="10" s="1"/>
  <c r="J59" i="10"/>
  <c r="I60" i="10"/>
  <c r="P57" i="10"/>
  <c r="N57" i="10"/>
  <c r="M57" i="10" s="1"/>
  <c r="V57" i="10"/>
  <c r="Y57" i="10" s="1"/>
  <c r="K58" i="10"/>
  <c r="O58" i="10"/>
  <c r="Q57" i="10" l="1"/>
  <c r="S56" i="10"/>
  <c r="T56" i="10" s="1"/>
  <c r="R56" i="10"/>
  <c r="AB56" i="10"/>
  <c r="K59" i="10"/>
  <c r="V58" i="10"/>
  <c r="Y58" i="10" s="1"/>
  <c r="N58" i="10"/>
  <c r="M58" i="10" s="1"/>
  <c r="O59" i="10"/>
  <c r="X57" i="10"/>
  <c r="J60" i="10"/>
  <c r="I61" i="10"/>
  <c r="P58" i="10"/>
  <c r="W57" i="10"/>
  <c r="Q58" i="10" l="1"/>
  <c r="S57" i="10"/>
  <c r="T57" i="10" s="1"/>
  <c r="R57" i="10"/>
  <c r="X58" i="10"/>
  <c r="W58" i="10"/>
  <c r="AA58" i="10" s="1"/>
  <c r="AC58" i="10" s="1"/>
  <c r="AD58" i="10" s="1"/>
  <c r="J61" i="10"/>
  <c r="I62" i="10"/>
  <c r="P59" i="10"/>
  <c r="AB57" i="10"/>
  <c r="AA57" i="10"/>
  <c r="AC57" i="10" s="1"/>
  <c r="AD57" i="10" s="1"/>
  <c r="K60" i="10"/>
  <c r="N59" i="10"/>
  <c r="M59" i="10" s="1"/>
  <c r="V59" i="10"/>
  <c r="Y59" i="10" s="1"/>
  <c r="O60" i="10"/>
  <c r="Q59" i="10" l="1"/>
  <c r="S58" i="10"/>
  <c r="T58" i="10" s="1"/>
  <c r="R58" i="10"/>
  <c r="AB58" i="10"/>
  <c r="X59" i="10"/>
  <c r="J62" i="10"/>
  <c r="I63" i="10"/>
  <c r="K61" i="10"/>
  <c r="V60" i="10"/>
  <c r="Y60" i="10" s="1"/>
  <c r="N60" i="10"/>
  <c r="M60" i="10" s="1"/>
  <c r="O61" i="10"/>
  <c r="P60" i="10"/>
  <c r="W59" i="10"/>
  <c r="Q60" i="10" l="1"/>
  <c r="R59" i="10"/>
  <c r="S59" i="10"/>
  <c r="T59" i="10" s="1"/>
  <c r="W60" i="10"/>
  <c r="AA60" i="10" s="1"/>
  <c r="AC60" i="10" s="1"/>
  <c r="AD60" i="10" s="1"/>
  <c r="AA59" i="10"/>
  <c r="AC59" i="10" s="1"/>
  <c r="AD59" i="10" s="1"/>
  <c r="AB59" i="10"/>
  <c r="X60" i="10"/>
  <c r="K62" i="10"/>
  <c r="V61" i="10"/>
  <c r="Y61" i="10" s="1"/>
  <c r="N61" i="10"/>
  <c r="M61" i="10" s="1"/>
  <c r="O62" i="10"/>
  <c r="P61" i="10"/>
  <c r="J63" i="10"/>
  <c r="I64" i="10"/>
  <c r="S60" i="10" l="1"/>
  <c r="T60" i="10" s="1"/>
  <c r="R60" i="10"/>
  <c r="Q61" i="10"/>
  <c r="X61" i="10"/>
  <c r="AB60" i="10"/>
  <c r="W61" i="10"/>
  <c r="AA61" i="10" s="1"/>
  <c r="AC61" i="10" s="1"/>
  <c r="AD61" i="10" s="1"/>
  <c r="N62" i="10"/>
  <c r="M62" i="10" s="1"/>
  <c r="V62" i="10"/>
  <c r="Y62" i="10" s="1"/>
  <c r="K63" i="10"/>
  <c r="O63" i="10"/>
  <c r="P62" i="10"/>
  <c r="J64" i="10"/>
  <c r="I65" i="10"/>
  <c r="S61" i="10" l="1"/>
  <c r="T61" i="10" s="1"/>
  <c r="R61" i="10"/>
  <c r="Q62" i="10"/>
  <c r="AB61" i="10"/>
  <c r="X62" i="10"/>
  <c r="W62" i="10"/>
  <c r="AA62" i="10" s="1"/>
  <c r="AC62" i="10" s="1"/>
  <c r="AD62" i="10" s="1"/>
  <c r="P63" i="10"/>
  <c r="J65" i="10"/>
  <c r="I66" i="10"/>
  <c r="N63" i="10"/>
  <c r="M63" i="10" s="1"/>
  <c r="V63" i="10"/>
  <c r="Y63" i="10" s="1"/>
  <c r="K64" i="10"/>
  <c r="O64" i="10"/>
  <c r="S62" i="10" l="1"/>
  <c r="T62" i="10" s="1"/>
  <c r="R62" i="10"/>
  <c r="Q63" i="10"/>
  <c r="AB62" i="10"/>
  <c r="J66" i="10"/>
  <c r="I67" i="10"/>
  <c r="W63" i="10"/>
  <c r="P64" i="10"/>
  <c r="K65" i="10"/>
  <c r="V64" i="10"/>
  <c r="Y64" i="10" s="1"/>
  <c r="N64" i="10"/>
  <c r="M64" i="10" s="1"/>
  <c r="O65" i="10"/>
  <c r="X63" i="10"/>
  <c r="Q64" i="10" l="1"/>
  <c r="R63" i="10"/>
  <c r="S63" i="10"/>
  <c r="T63" i="10" s="1"/>
  <c r="P65" i="10"/>
  <c r="AA63" i="10"/>
  <c r="AC63" i="10" s="1"/>
  <c r="AD63" i="10" s="1"/>
  <c r="AB63" i="10"/>
  <c r="X64" i="10"/>
  <c r="J67" i="10"/>
  <c r="I68" i="10"/>
  <c r="V65" i="10"/>
  <c r="Y65" i="10" s="1"/>
  <c r="N65" i="10"/>
  <c r="M65" i="10" s="1"/>
  <c r="K66" i="10"/>
  <c r="O66" i="10"/>
  <c r="W64" i="10"/>
  <c r="Q65" i="10" l="1"/>
  <c r="S64" i="10"/>
  <c r="T64" i="10" s="1"/>
  <c r="R64" i="10"/>
  <c r="X65" i="10"/>
  <c r="J68" i="10"/>
  <c r="I69" i="10"/>
  <c r="V66" i="10"/>
  <c r="Y66" i="10" s="1"/>
  <c r="K67" i="10"/>
  <c r="N66" i="10"/>
  <c r="M66" i="10" s="1"/>
  <c r="O67" i="10"/>
  <c r="W65" i="10"/>
  <c r="P66" i="10"/>
  <c r="AB64" i="10"/>
  <c r="AA64" i="10"/>
  <c r="AC64" i="10" s="1"/>
  <c r="AD64" i="10" s="1"/>
  <c r="Q66" i="10" l="1"/>
  <c r="S65" i="10"/>
  <c r="T65" i="10" s="1"/>
  <c r="R65" i="10"/>
  <c r="W66" i="10"/>
  <c r="AB66" i="10" s="1"/>
  <c r="X66" i="10"/>
  <c r="P67" i="10"/>
  <c r="J69" i="10"/>
  <c r="I70" i="10"/>
  <c r="AB65" i="10"/>
  <c r="AA65" i="10"/>
  <c r="N67" i="10"/>
  <c r="M67" i="10" s="1"/>
  <c r="V67" i="10"/>
  <c r="Y67" i="10" s="1"/>
  <c r="K68" i="10"/>
  <c r="O68" i="10"/>
  <c r="AC65" i="10" l="1"/>
  <c r="AD65" i="10" s="1"/>
  <c r="Q67" i="10"/>
  <c r="R66" i="10"/>
  <c r="S66" i="10"/>
  <c r="AA66" i="10"/>
  <c r="J70" i="10"/>
  <c r="I71" i="10"/>
  <c r="W67" i="10"/>
  <c r="X67" i="10"/>
  <c r="P68" i="10"/>
  <c r="V68" i="10"/>
  <c r="Y68" i="10" s="1"/>
  <c r="N68" i="10"/>
  <c r="M68" i="10" s="1"/>
  <c r="K69" i="10"/>
  <c r="O69" i="10"/>
  <c r="AC66" i="10" l="1"/>
  <c r="AD66" i="10" s="1"/>
  <c r="T66" i="10"/>
  <c r="Q68" i="10"/>
  <c r="R67" i="10"/>
  <c r="S67" i="10"/>
  <c r="T67" i="10" s="1"/>
  <c r="X68" i="10"/>
  <c r="P69" i="10"/>
  <c r="N69" i="10"/>
  <c r="M69" i="10" s="1"/>
  <c r="V69" i="10"/>
  <c r="Y69" i="10" s="1"/>
  <c r="K70" i="10"/>
  <c r="O70" i="10"/>
  <c r="AB67" i="10"/>
  <c r="AA67" i="10"/>
  <c r="AC67" i="10" s="1"/>
  <c r="AD67" i="10" s="1"/>
  <c r="J71" i="10"/>
  <c r="I72" i="10"/>
  <c r="W68" i="10"/>
  <c r="Q69" i="10" l="1"/>
  <c r="S68" i="10"/>
  <c r="T68" i="10" s="1"/>
  <c r="R68" i="10"/>
  <c r="AB68" i="10"/>
  <c r="AA68" i="10"/>
  <c r="P70" i="10"/>
  <c r="K71" i="10"/>
  <c r="N70" i="10"/>
  <c r="M70" i="10" s="1"/>
  <c r="V70" i="10"/>
  <c r="Y70" i="10" s="1"/>
  <c r="O71" i="10"/>
  <c r="W69" i="10"/>
  <c r="J72" i="10"/>
  <c r="I73" i="10"/>
  <c r="X69" i="10"/>
  <c r="AC68" i="10" l="1"/>
  <c r="AD68" i="10" s="1"/>
  <c r="S69" i="10"/>
  <c r="T69" i="10" s="1"/>
  <c r="R69" i="10"/>
  <c r="Q70" i="10"/>
  <c r="AA69" i="10"/>
  <c r="AC69" i="10" s="1"/>
  <c r="AD69" i="10" s="1"/>
  <c r="AB69" i="10"/>
  <c r="V71" i="10"/>
  <c r="Y71" i="10" s="1"/>
  <c r="N71" i="10"/>
  <c r="M71" i="10" s="1"/>
  <c r="K72" i="10"/>
  <c r="O72" i="10"/>
  <c r="W70" i="10"/>
  <c r="P71" i="10"/>
  <c r="J73" i="10"/>
  <c r="I74" i="10"/>
  <c r="X70" i="10"/>
  <c r="R70" i="10" l="1"/>
  <c r="S70" i="10"/>
  <c r="T70" i="10" s="1"/>
  <c r="Q71" i="10"/>
  <c r="W71" i="10"/>
  <c r="AA71" i="10" s="1"/>
  <c r="AC71" i="10" s="1"/>
  <c r="AD71" i="10" s="1"/>
  <c r="X71" i="10"/>
  <c r="J74" i="10"/>
  <c r="I75" i="10"/>
  <c r="AA70" i="10"/>
  <c r="AB70" i="10"/>
  <c r="P72" i="10"/>
  <c r="K73" i="10"/>
  <c r="N72" i="10"/>
  <c r="M72" i="10" s="1"/>
  <c r="V72" i="10"/>
  <c r="Y72" i="10" s="1"/>
  <c r="O73" i="10"/>
  <c r="AC70" i="10" l="1"/>
  <c r="AD70" i="10" s="1"/>
  <c r="R71" i="10"/>
  <c r="S71" i="10"/>
  <c r="T71" i="10" s="1"/>
  <c r="Q72" i="10"/>
  <c r="AB71" i="10"/>
  <c r="J75" i="10"/>
  <c r="I76" i="10"/>
  <c r="N73" i="10"/>
  <c r="M73" i="10" s="1"/>
  <c r="K74" i="10"/>
  <c r="V73" i="10"/>
  <c r="Y73" i="10" s="1"/>
  <c r="O74" i="10"/>
  <c r="X72" i="10"/>
  <c r="P73" i="10"/>
  <c r="W72" i="10"/>
  <c r="Q73" i="10" l="1"/>
  <c r="S73" i="10" s="1"/>
  <c r="T73" i="10" s="1"/>
  <c r="S72" i="10"/>
  <c r="T72" i="10" s="1"/>
  <c r="R72" i="10"/>
  <c r="W73" i="10"/>
  <c r="AA73" i="10" s="1"/>
  <c r="AC73" i="10" s="1"/>
  <c r="AD73" i="10" s="1"/>
  <c r="P74" i="10"/>
  <c r="J76" i="10"/>
  <c r="I77" i="10"/>
  <c r="AA72" i="10"/>
  <c r="AB72" i="10"/>
  <c r="X73" i="10"/>
  <c r="K75" i="10"/>
  <c r="V74" i="10"/>
  <c r="Y74" i="10" s="1"/>
  <c r="N74" i="10"/>
  <c r="M74" i="10" s="1"/>
  <c r="O75" i="10"/>
  <c r="R73" i="10" l="1"/>
  <c r="AC72" i="10"/>
  <c r="AD72" i="10" s="1"/>
  <c r="Q74" i="10"/>
  <c r="AB73" i="10"/>
  <c r="V75" i="10"/>
  <c r="Y75" i="10" s="1"/>
  <c r="N75" i="10"/>
  <c r="M75" i="10" s="1"/>
  <c r="K76" i="10"/>
  <c r="O76" i="10"/>
  <c r="J77" i="10"/>
  <c r="I78" i="10"/>
  <c r="X74" i="10"/>
  <c r="P75" i="10"/>
  <c r="W74" i="10"/>
  <c r="S74" i="10" l="1"/>
  <c r="T74" i="10" s="1"/>
  <c r="R74" i="10"/>
  <c r="Q75" i="10"/>
  <c r="W75" i="10"/>
  <c r="AB75" i="10" s="1"/>
  <c r="X75" i="10"/>
  <c r="N76" i="10"/>
  <c r="M76" i="10" s="1"/>
  <c r="K77" i="10"/>
  <c r="V76" i="10"/>
  <c r="Y76" i="10" s="1"/>
  <c r="O77" i="10"/>
  <c r="J78" i="10"/>
  <c r="I79" i="10"/>
  <c r="AA74" i="10"/>
  <c r="AB74" i="10"/>
  <c r="P76" i="10"/>
  <c r="AC74" i="10" l="1"/>
  <c r="AD74" i="10" s="1"/>
  <c r="R75" i="10"/>
  <c r="S75" i="10"/>
  <c r="T75" i="10" s="1"/>
  <c r="Q76" i="10"/>
  <c r="AA75" i="10"/>
  <c r="AC75" i="10" s="1"/>
  <c r="AD75" i="10" s="1"/>
  <c r="W76" i="10"/>
  <c r="AA76" i="10" s="1"/>
  <c r="AC76" i="10" s="1"/>
  <c r="AD76" i="10" s="1"/>
  <c r="X76" i="10"/>
  <c r="J79" i="10"/>
  <c r="I80" i="10"/>
  <c r="K78" i="10"/>
  <c r="V77" i="10"/>
  <c r="Y77" i="10" s="1"/>
  <c r="N77" i="10"/>
  <c r="M77" i="10" s="1"/>
  <c r="O78" i="10"/>
  <c r="P77" i="10"/>
  <c r="Q77" i="10" l="1"/>
  <c r="S76" i="10"/>
  <c r="T76" i="10" s="1"/>
  <c r="R76" i="10"/>
  <c r="AB76" i="10"/>
  <c r="X77" i="10"/>
  <c r="W77" i="10"/>
  <c r="AB77" i="10" s="1"/>
  <c r="N78" i="10"/>
  <c r="M78" i="10" s="1"/>
  <c r="K79" i="10"/>
  <c r="V78" i="10"/>
  <c r="Y78" i="10" s="1"/>
  <c r="O79" i="10"/>
  <c r="P78" i="10"/>
  <c r="J80" i="10"/>
  <c r="I81" i="10"/>
  <c r="Q78" i="10" l="1"/>
  <c r="S77" i="10"/>
  <c r="T77" i="10" s="1"/>
  <c r="R77" i="10"/>
  <c r="AA77" i="10"/>
  <c r="AC77" i="10" s="1"/>
  <c r="AD77" i="10" s="1"/>
  <c r="X78" i="10"/>
  <c r="J81" i="10"/>
  <c r="I82" i="10"/>
  <c r="P79" i="10"/>
  <c r="V79" i="10"/>
  <c r="Y79" i="10" s="1"/>
  <c r="N79" i="10"/>
  <c r="M79" i="10" s="1"/>
  <c r="K80" i="10"/>
  <c r="O80" i="10"/>
  <c r="W78" i="10"/>
  <c r="S78" i="10" l="1"/>
  <c r="T78" i="10" s="1"/>
  <c r="R78" i="10"/>
  <c r="Q79" i="10"/>
  <c r="P80" i="10"/>
  <c r="N80" i="10"/>
  <c r="M80" i="10" s="1"/>
  <c r="K81" i="10"/>
  <c r="V80" i="10"/>
  <c r="Y80" i="10" s="1"/>
  <c r="O81" i="10"/>
  <c r="W79" i="10"/>
  <c r="J82" i="10"/>
  <c r="I83" i="10"/>
  <c r="AB78" i="10"/>
  <c r="AA78" i="10"/>
  <c r="AC78" i="10" s="1"/>
  <c r="AD78" i="10" s="1"/>
  <c r="X79" i="10"/>
  <c r="Q80" i="10" l="1"/>
  <c r="R80" i="10" s="1"/>
  <c r="R79" i="10"/>
  <c r="S79" i="10"/>
  <c r="T79" i="10" s="1"/>
  <c r="J83" i="10"/>
  <c r="I84" i="10"/>
  <c r="X80" i="10"/>
  <c r="K82" i="10"/>
  <c r="N81" i="10"/>
  <c r="M81" i="10" s="1"/>
  <c r="V81" i="10"/>
  <c r="Y81" i="10" s="1"/>
  <c r="O82" i="10"/>
  <c r="AB79" i="10"/>
  <c r="AA79" i="10"/>
  <c r="AC79" i="10" s="1"/>
  <c r="AD79" i="10" s="1"/>
  <c r="W80" i="10"/>
  <c r="P81" i="10"/>
  <c r="S80" i="10" l="1"/>
  <c r="T80" i="10" s="1"/>
  <c r="Q81" i="10"/>
  <c r="X81" i="10"/>
  <c r="W81" i="10"/>
  <c r="AB81" i="10" s="1"/>
  <c r="N82" i="10"/>
  <c r="M82" i="10" s="1"/>
  <c r="K83" i="10"/>
  <c r="V82" i="10"/>
  <c r="Y82" i="10" s="1"/>
  <c r="O83" i="10"/>
  <c r="P82" i="10"/>
  <c r="AA80" i="10"/>
  <c r="AC80" i="10" s="1"/>
  <c r="AD80" i="10" s="1"/>
  <c r="AB80" i="10"/>
  <c r="J84" i="10"/>
  <c r="I85" i="10"/>
  <c r="S81" i="10" l="1"/>
  <c r="T81" i="10" s="1"/>
  <c r="R81" i="10"/>
  <c r="Q82" i="10"/>
  <c r="AA81" i="10"/>
  <c r="AC81" i="10" s="1"/>
  <c r="AD81" i="10" s="1"/>
  <c r="X82" i="10"/>
  <c r="W82" i="10"/>
  <c r="AA82" i="10" s="1"/>
  <c r="AC82" i="10" s="1"/>
  <c r="AD82" i="10" s="1"/>
  <c r="V83" i="10"/>
  <c r="Y83" i="10" s="1"/>
  <c r="N83" i="10"/>
  <c r="M83" i="10" s="1"/>
  <c r="K84" i="10"/>
  <c r="O84" i="10"/>
  <c r="J85" i="10"/>
  <c r="I86" i="10"/>
  <c r="P83" i="10"/>
  <c r="S82" i="10" l="1"/>
  <c r="T82" i="10" s="1"/>
  <c r="R82" i="10"/>
  <c r="Q83" i="10"/>
  <c r="W83" i="10"/>
  <c r="AA83" i="10" s="1"/>
  <c r="AC83" i="10" s="1"/>
  <c r="AD83" i="10" s="1"/>
  <c r="AB82" i="10"/>
  <c r="X83" i="10"/>
  <c r="J86" i="10"/>
  <c r="I87" i="10"/>
  <c r="P84" i="10"/>
  <c r="N84" i="10"/>
  <c r="M84" i="10" s="1"/>
  <c r="V84" i="10"/>
  <c r="Y84" i="10" s="1"/>
  <c r="K85" i="10"/>
  <c r="O85" i="10"/>
  <c r="Q84" i="10" l="1"/>
  <c r="R83" i="10"/>
  <c r="S83" i="10"/>
  <c r="T83" i="10" s="1"/>
  <c r="AB83" i="10"/>
  <c r="P85" i="10"/>
  <c r="V85" i="10"/>
  <c r="Y85" i="10" s="1"/>
  <c r="N85" i="10"/>
  <c r="M85" i="10" s="1"/>
  <c r="K86" i="10"/>
  <c r="O86" i="10"/>
  <c r="X84" i="10"/>
  <c r="J87" i="10"/>
  <c r="I88" i="10"/>
  <c r="W84" i="10"/>
  <c r="Q85" i="10" l="1"/>
  <c r="S84" i="10"/>
  <c r="T84" i="10" s="1"/>
  <c r="R84" i="10"/>
  <c r="J88" i="10"/>
  <c r="I89" i="10"/>
  <c r="N86" i="10"/>
  <c r="M86" i="10" s="1"/>
  <c r="V86" i="10"/>
  <c r="Y86" i="10" s="1"/>
  <c r="K87" i="10"/>
  <c r="O87" i="10"/>
  <c r="W85" i="10"/>
  <c r="X85" i="10"/>
  <c r="AA84" i="10"/>
  <c r="AC84" i="10" s="1"/>
  <c r="AD84" i="10" s="1"/>
  <c r="AB84" i="10"/>
  <c r="P86" i="10"/>
  <c r="S85" i="10" l="1"/>
  <c r="T85" i="10" s="1"/>
  <c r="R85" i="10"/>
  <c r="Q86" i="10"/>
  <c r="W86" i="10"/>
  <c r="AA86" i="10" s="1"/>
  <c r="AC86" i="10" s="1"/>
  <c r="AD86" i="10" s="1"/>
  <c r="AB85" i="10"/>
  <c r="AA85" i="10"/>
  <c r="AC85" i="10" s="1"/>
  <c r="AD85" i="10" s="1"/>
  <c r="P87" i="10"/>
  <c r="J89" i="10"/>
  <c r="I90" i="10"/>
  <c r="X86" i="10"/>
  <c r="K88" i="10"/>
  <c r="V87" i="10"/>
  <c r="Y87" i="10" s="1"/>
  <c r="N87" i="10"/>
  <c r="M87" i="10" s="1"/>
  <c r="O88" i="10"/>
  <c r="R86" i="10" l="1"/>
  <c r="S86" i="10"/>
  <c r="T86" i="10" s="1"/>
  <c r="Q87" i="10"/>
  <c r="AB86" i="10"/>
  <c r="K89" i="10"/>
  <c r="N88" i="10"/>
  <c r="M88" i="10" s="1"/>
  <c r="V88" i="10"/>
  <c r="Y88" i="10" s="1"/>
  <c r="O89" i="10"/>
  <c r="P88" i="10"/>
  <c r="X87" i="10"/>
  <c r="J90" i="10"/>
  <c r="I91" i="10"/>
  <c r="W87" i="10"/>
  <c r="Q88" i="10" l="1"/>
  <c r="R87" i="10"/>
  <c r="S87" i="10"/>
  <c r="T87" i="10" s="1"/>
  <c r="X88" i="10"/>
  <c r="W88" i="10"/>
  <c r="AB88" i="10" s="1"/>
  <c r="J91" i="10"/>
  <c r="I92" i="10"/>
  <c r="P89" i="10"/>
  <c r="AA87" i="10"/>
  <c r="AC87" i="10" s="1"/>
  <c r="AD87" i="10" s="1"/>
  <c r="AB87" i="10"/>
  <c r="K90" i="10"/>
  <c r="N89" i="10"/>
  <c r="M89" i="10" s="1"/>
  <c r="V89" i="10"/>
  <c r="Y89" i="10" s="1"/>
  <c r="O90" i="10"/>
  <c r="Q89" i="10" l="1"/>
  <c r="S88" i="10"/>
  <c r="T88" i="10" s="1"/>
  <c r="R88" i="10"/>
  <c r="AA88" i="10"/>
  <c r="AC88" i="10" s="1"/>
  <c r="AD88" i="10" s="1"/>
  <c r="X89" i="10"/>
  <c r="K91" i="10"/>
  <c r="V90" i="10"/>
  <c r="Y90" i="10" s="1"/>
  <c r="N90" i="10"/>
  <c r="M90" i="10" s="1"/>
  <c r="O91" i="10"/>
  <c r="J92" i="10"/>
  <c r="I93" i="10"/>
  <c r="P90" i="10"/>
  <c r="W89" i="10"/>
  <c r="Q90" i="10" l="1"/>
  <c r="S89" i="10"/>
  <c r="T89" i="10" s="1"/>
  <c r="R89" i="10"/>
  <c r="X90" i="10"/>
  <c r="W90" i="10"/>
  <c r="AA90" i="10" s="1"/>
  <c r="AC90" i="10" s="1"/>
  <c r="AD90" i="10" s="1"/>
  <c r="N91" i="10"/>
  <c r="M91" i="10" s="1"/>
  <c r="V91" i="10"/>
  <c r="Y91" i="10" s="1"/>
  <c r="K92" i="10"/>
  <c r="O92" i="10"/>
  <c r="AA89" i="10"/>
  <c r="AC89" i="10" s="1"/>
  <c r="AD89" i="10" s="1"/>
  <c r="AB89" i="10"/>
  <c r="P91" i="10"/>
  <c r="J93" i="10"/>
  <c r="I94" i="10"/>
  <c r="S90" i="10" l="1"/>
  <c r="T90" i="10" s="1"/>
  <c r="R90" i="10"/>
  <c r="Q91" i="10"/>
  <c r="AB90" i="10"/>
  <c r="X91" i="10"/>
  <c r="W91" i="10"/>
  <c r="AA91" i="10" s="1"/>
  <c r="AC91" i="10" s="1"/>
  <c r="AD91" i="10" s="1"/>
  <c r="J94" i="10"/>
  <c r="I95" i="10"/>
  <c r="P92" i="10"/>
  <c r="V92" i="10"/>
  <c r="Y92" i="10" s="1"/>
  <c r="N92" i="10"/>
  <c r="M92" i="10" s="1"/>
  <c r="K93" i="10"/>
  <c r="O93" i="10"/>
  <c r="R91" i="10" l="1"/>
  <c r="S91" i="10"/>
  <c r="T91" i="10" s="1"/>
  <c r="Q92" i="10"/>
  <c r="AB91" i="10"/>
  <c r="X92" i="10"/>
  <c r="W92" i="10"/>
  <c r="AA92" i="10" s="1"/>
  <c r="AC92" i="10" s="1"/>
  <c r="AD92" i="10" s="1"/>
  <c r="P93" i="10"/>
  <c r="V93" i="10"/>
  <c r="Y93" i="10" s="1"/>
  <c r="N93" i="10"/>
  <c r="M93" i="10" s="1"/>
  <c r="K94" i="10"/>
  <c r="O94" i="10"/>
  <c r="J95" i="10"/>
  <c r="I96" i="10"/>
  <c r="Q93" i="10" l="1"/>
  <c r="S93" i="10" s="1"/>
  <c r="T93" i="10" s="1"/>
  <c r="S92" i="10"/>
  <c r="T92" i="10" s="1"/>
  <c r="R92" i="10"/>
  <c r="AB92" i="10"/>
  <c r="X93" i="10"/>
  <c r="W93" i="10"/>
  <c r="P94" i="10"/>
  <c r="J96" i="10"/>
  <c r="I97" i="10"/>
  <c r="V94" i="10"/>
  <c r="Y94" i="10" s="1"/>
  <c r="N94" i="10"/>
  <c r="M94" i="10" s="1"/>
  <c r="K95" i="10"/>
  <c r="O95" i="10"/>
  <c r="R93" i="10" l="1"/>
  <c r="Q94" i="10"/>
  <c r="AA93" i="10"/>
  <c r="AC93" i="10" s="1"/>
  <c r="AD93" i="10" s="1"/>
  <c r="AB93" i="10"/>
  <c r="P95" i="10"/>
  <c r="J97" i="10"/>
  <c r="I98" i="10"/>
  <c r="X94" i="10"/>
  <c r="V95" i="10"/>
  <c r="Y95" i="10" s="1"/>
  <c r="K96" i="10"/>
  <c r="N95" i="10"/>
  <c r="M95" i="10" s="1"/>
  <c r="O96" i="10"/>
  <c r="W94" i="10"/>
  <c r="S94" i="10" l="1"/>
  <c r="T94" i="10" s="1"/>
  <c r="R94" i="10"/>
  <c r="Q95" i="10"/>
  <c r="J98" i="10"/>
  <c r="I99" i="10"/>
  <c r="W95" i="10"/>
  <c r="N96" i="10"/>
  <c r="M96" i="10" s="1"/>
  <c r="V96" i="10"/>
  <c r="Y96" i="10" s="1"/>
  <c r="K97" i="10"/>
  <c r="O97" i="10"/>
  <c r="AB94" i="10"/>
  <c r="AA94" i="10"/>
  <c r="AC94" i="10" s="1"/>
  <c r="AD94" i="10" s="1"/>
  <c r="P96" i="10"/>
  <c r="X95" i="10"/>
  <c r="R95" i="10" l="1"/>
  <c r="S95" i="10"/>
  <c r="T95" i="10" s="1"/>
  <c r="Q96" i="10"/>
  <c r="W96" i="10"/>
  <c r="AB96" i="10" s="1"/>
  <c r="X96" i="10"/>
  <c r="P97" i="10"/>
  <c r="AB95" i="10"/>
  <c r="AA95" i="10"/>
  <c r="AC95" i="10" s="1"/>
  <c r="AD95" i="10" s="1"/>
  <c r="K98" i="10"/>
  <c r="V97" i="10"/>
  <c r="Y97" i="10" s="1"/>
  <c r="N97" i="10"/>
  <c r="M97" i="10" s="1"/>
  <c r="O98" i="10"/>
  <c r="J99" i="10"/>
  <c r="I100" i="10"/>
  <c r="S96" i="10" l="1"/>
  <c r="T96" i="10" s="1"/>
  <c r="R96" i="10"/>
  <c r="Q97" i="10"/>
  <c r="AA96" i="10"/>
  <c r="AC96" i="10" s="1"/>
  <c r="AD96" i="10" s="1"/>
  <c r="J100" i="10"/>
  <c r="I101" i="10"/>
  <c r="K99" i="10"/>
  <c r="N98" i="10"/>
  <c r="M98" i="10" s="1"/>
  <c r="V98" i="10"/>
  <c r="Y98" i="10" s="1"/>
  <c r="O99" i="10"/>
  <c r="X97" i="10"/>
  <c r="P98" i="10"/>
  <c r="W97" i="10"/>
  <c r="Q98" i="10" l="1"/>
  <c r="R98" i="10" s="1"/>
  <c r="S97" i="10"/>
  <c r="T97" i="10" s="1"/>
  <c r="R97" i="10"/>
  <c r="W98" i="10"/>
  <c r="AA98" i="10" s="1"/>
  <c r="AC98" i="10" s="1"/>
  <c r="AD98" i="10" s="1"/>
  <c r="X98" i="10"/>
  <c r="AB97" i="10"/>
  <c r="AA97" i="10"/>
  <c r="AC97" i="10" s="1"/>
  <c r="AD97" i="10" s="1"/>
  <c r="K100" i="10"/>
  <c r="N99" i="10"/>
  <c r="M99" i="10" s="1"/>
  <c r="V99" i="10"/>
  <c r="Y99" i="10" s="1"/>
  <c r="O100" i="10"/>
  <c r="P99" i="10"/>
  <c r="J101" i="10"/>
  <c r="I102" i="10"/>
  <c r="S98" i="10" l="1"/>
  <c r="T98" i="10" s="1"/>
  <c r="Q99" i="10"/>
  <c r="AB98" i="10"/>
  <c r="W99" i="10"/>
  <c r="AB99" i="10" s="1"/>
  <c r="K101" i="10"/>
  <c r="N100" i="10"/>
  <c r="M100" i="10" s="1"/>
  <c r="V100" i="10"/>
  <c r="Y100" i="10" s="1"/>
  <c r="O101" i="10"/>
  <c r="P100" i="10"/>
  <c r="J102" i="10"/>
  <c r="I103" i="10"/>
  <c r="X99" i="10"/>
  <c r="Q100" i="10" l="1"/>
  <c r="R99" i="10"/>
  <c r="S99" i="10"/>
  <c r="T99" i="10" s="1"/>
  <c r="AA99" i="10"/>
  <c r="AC99" i="10" s="1"/>
  <c r="AD99" i="10" s="1"/>
  <c r="X100" i="10"/>
  <c r="W100" i="10"/>
  <c r="AB100" i="10" s="1"/>
  <c r="J103" i="10"/>
  <c r="I104" i="10"/>
  <c r="V101" i="10"/>
  <c r="Y101" i="10" s="1"/>
  <c r="N101" i="10"/>
  <c r="M101" i="10" s="1"/>
  <c r="K102" i="10"/>
  <c r="O102" i="10"/>
  <c r="P101" i="10"/>
  <c r="S100" i="10" l="1"/>
  <c r="T100" i="10" s="1"/>
  <c r="R100" i="10"/>
  <c r="Q101" i="10"/>
  <c r="W101" i="10"/>
  <c r="AA101" i="10" s="1"/>
  <c r="AC101" i="10" s="1"/>
  <c r="AD101" i="10" s="1"/>
  <c r="AA100" i="10"/>
  <c r="AC100" i="10" s="1"/>
  <c r="AD100" i="10" s="1"/>
  <c r="X101" i="10"/>
  <c r="P102" i="10"/>
  <c r="K103" i="10"/>
  <c r="V102" i="10"/>
  <c r="Y102" i="10" s="1"/>
  <c r="N102" i="10"/>
  <c r="M102" i="10" s="1"/>
  <c r="O103" i="10"/>
  <c r="J104" i="10"/>
  <c r="I105" i="10"/>
  <c r="S101" i="10" l="1"/>
  <c r="T101" i="10" s="1"/>
  <c r="R101" i="10"/>
  <c r="Q102" i="10"/>
  <c r="AB101" i="10"/>
  <c r="J105" i="10"/>
  <c r="I106" i="10"/>
  <c r="P103" i="10"/>
  <c r="W102" i="10"/>
  <c r="X102" i="10"/>
  <c r="V103" i="10"/>
  <c r="Y103" i="10" s="1"/>
  <c r="N103" i="10"/>
  <c r="M103" i="10" s="1"/>
  <c r="K104" i="10"/>
  <c r="O104" i="10"/>
  <c r="R102" i="10" l="1"/>
  <c r="S102" i="10"/>
  <c r="T102" i="10" s="1"/>
  <c r="Q103" i="10"/>
  <c r="V104" i="10"/>
  <c r="Y104" i="10" s="1"/>
  <c r="K105" i="10"/>
  <c r="N104" i="10"/>
  <c r="M104" i="10" s="1"/>
  <c r="O105" i="10"/>
  <c r="AA102" i="10"/>
  <c r="AC102" i="10" s="1"/>
  <c r="AD102" i="10" s="1"/>
  <c r="AB102" i="10"/>
  <c r="W103" i="10"/>
  <c r="J106" i="10"/>
  <c r="I107" i="10"/>
  <c r="P104" i="10"/>
  <c r="X103" i="10"/>
  <c r="R103" i="10" l="1"/>
  <c r="S103" i="10"/>
  <c r="T103" i="10" s="1"/>
  <c r="Q104" i="10"/>
  <c r="X104" i="10"/>
  <c r="W104" i="10"/>
  <c r="AA104" i="10" s="1"/>
  <c r="AC104" i="10" s="1"/>
  <c r="AD104" i="10" s="1"/>
  <c r="P105" i="10"/>
  <c r="AB103" i="10"/>
  <c r="AA103" i="10"/>
  <c r="AC103" i="10" s="1"/>
  <c r="AD103" i="10" s="1"/>
  <c r="J107" i="10"/>
  <c r="I108" i="10"/>
  <c r="V105" i="10"/>
  <c r="Y105" i="10" s="1"/>
  <c r="N105" i="10"/>
  <c r="M105" i="10" s="1"/>
  <c r="K106" i="10"/>
  <c r="O106" i="10"/>
  <c r="S104" i="10" l="1"/>
  <c r="T104" i="10" s="1"/>
  <c r="R104" i="10"/>
  <c r="Q105" i="10"/>
  <c r="AB104" i="10"/>
  <c r="X105" i="10"/>
  <c r="P106" i="10"/>
  <c r="J108" i="10"/>
  <c r="I109" i="10"/>
  <c r="K107" i="10"/>
  <c r="V106" i="10"/>
  <c r="Y106" i="10" s="1"/>
  <c r="N106" i="10"/>
  <c r="M106" i="10" s="1"/>
  <c r="O107" i="10"/>
  <c r="W105" i="10"/>
  <c r="Q106" i="10" l="1"/>
  <c r="S105" i="10"/>
  <c r="T105" i="10" s="1"/>
  <c r="R105" i="10"/>
  <c r="P107" i="10"/>
  <c r="W106" i="10"/>
  <c r="J109" i="10"/>
  <c r="I110" i="10"/>
  <c r="X106" i="10"/>
  <c r="AB105" i="10"/>
  <c r="AA105" i="10"/>
  <c r="AC105" i="10" s="1"/>
  <c r="AD105" i="10" s="1"/>
  <c r="N107" i="10"/>
  <c r="M107" i="10" s="1"/>
  <c r="V107" i="10"/>
  <c r="Y107" i="10" s="1"/>
  <c r="K108" i="10"/>
  <c r="O108" i="10"/>
  <c r="Q107" i="10" l="1"/>
  <c r="S106" i="10"/>
  <c r="T106" i="10" s="1"/>
  <c r="R106" i="10"/>
  <c r="N108" i="10"/>
  <c r="M108" i="10" s="1"/>
  <c r="V108" i="10"/>
  <c r="Y108" i="10" s="1"/>
  <c r="K109" i="10"/>
  <c r="O109" i="10"/>
  <c r="AA106" i="10"/>
  <c r="AC106" i="10" s="1"/>
  <c r="AD106" i="10" s="1"/>
  <c r="AB106" i="10"/>
  <c r="W107" i="10"/>
  <c r="P108" i="10"/>
  <c r="J110" i="10"/>
  <c r="I111" i="10"/>
  <c r="X107" i="10"/>
  <c r="Q108" i="10" l="1"/>
  <c r="R107" i="10"/>
  <c r="S107" i="10"/>
  <c r="T107" i="10" s="1"/>
  <c r="X108" i="10"/>
  <c r="W108" i="10"/>
  <c r="AA108" i="10" s="1"/>
  <c r="AC108" i="10" s="1"/>
  <c r="AD108" i="10" s="1"/>
  <c r="J111" i="10"/>
  <c r="I112" i="10"/>
  <c r="P109" i="10"/>
  <c r="N109" i="10"/>
  <c r="M109" i="10" s="1"/>
  <c r="K110" i="10"/>
  <c r="V109" i="10"/>
  <c r="Y109" i="10" s="1"/>
  <c r="O110" i="10"/>
  <c r="AB107" i="10"/>
  <c r="AA107" i="10"/>
  <c r="AC107" i="10" s="1"/>
  <c r="AD107" i="10" s="1"/>
  <c r="Q109" i="10" l="1"/>
  <c r="S108" i="10"/>
  <c r="T108" i="10" s="1"/>
  <c r="R108" i="10"/>
  <c r="AB108" i="10"/>
  <c r="X109" i="10"/>
  <c r="K111" i="10"/>
  <c r="V110" i="10"/>
  <c r="Y110" i="10" s="1"/>
  <c r="N110" i="10"/>
  <c r="M110" i="10" s="1"/>
  <c r="O111" i="10"/>
  <c r="P110" i="10"/>
  <c r="J112" i="10"/>
  <c r="I113" i="10"/>
  <c r="W109" i="10"/>
  <c r="Q110" i="10" l="1"/>
  <c r="S109" i="10"/>
  <c r="T109" i="10" s="1"/>
  <c r="R109" i="10"/>
  <c r="X110" i="10"/>
  <c r="W110" i="10"/>
  <c r="AB110" i="10" s="1"/>
  <c r="AB109" i="10"/>
  <c r="AA109" i="10"/>
  <c r="AC109" i="10" s="1"/>
  <c r="AD109" i="10" s="1"/>
  <c r="P111" i="10"/>
  <c r="I114" i="10"/>
  <c r="J113" i="10"/>
  <c r="V111" i="10"/>
  <c r="Y111" i="10" s="1"/>
  <c r="N111" i="10"/>
  <c r="M111" i="10" s="1"/>
  <c r="K112" i="10"/>
  <c r="O112" i="10"/>
  <c r="S110" i="10" l="1"/>
  <c r="T110" i="10" s="1"/>
  <c r="R110" i="10"/>
  <c r="Q111" i="10"/>
  <c r="AA110" i="10"/>
  <c r="AC110" i="10" s="1"/>
  <c r="AD110" i="10" s="1"/>
  <c r="X111" i="10"/>
  <c r="P112" i="10"/>
  <c r="K113" i="10"/>
  <c r="N112" i="10"/>
  <c r="M112" i="10" s="1"/>
  <c r="V112" i="10"/>
  <c r="Y112" i="10" s="1"/>
  <c r="O113" i="10"/>
  <c r="J114" i="10"/>
  <c r="I115" i="10"/>
  <c r="W111" i="10"/>
  <c r="R111" i="10" l="1"/>
  <c r="S111" i="10"/>
  <c r="T111" i="10" s="1"/>
  <c r="Q112" i="10"/>
  <c r="J115" i="10"/>
  <c r="I116" i="10"/>
  <c r="X112" i="10"/>
  <c r="K114" i="10"/>
  <c r="N113" i="10"/>
  <c r="M113" i="10" s="1"/>
  <c r="V113" i="10"/>
  <c r="Y113" i="10" s="1"/>
  <c r="O114" i="10"/>
  <c r="W112" i="10"/>
  <c r="P113" i="10"/>
  <c r="AA111" i="10"/>
  <c r="AC111" i="10" s="1"/>
  <c r="AD111" i="10" s="1"/>
  <c r="AB111" i="10"/>
  <c r="S112" i="10" l="1"/>
  <c r="T112" i="10" s="1"/>
  <c r="R112" i="10"/>
  <c r="Q113" i="10"/>
  <c r="X113" i="10"/>
  <c r="J116" i="10"/>
  <c r="W113" i="10"/>
  <c r="AA113" i="10" s="1"/>
  <c r="AC113" i="10" s="1"/>
  <c r="AD113" i="10" s="1"/>
  <c r="AB112" i="10"/>
  <c r="AA112" i="10"/>
  <c r="AC112" i="10" s="1"/>
  <c r="AD112" i="10" s="1"/>
  <c r="V114" i="10"/>
  <c r="Y114" i="10" s="1"/>
  <c r="K115" i="10"/>
  <c r="N114" i="10"/>
  <c r="M114" i="10" s="1"/>
  <c r="O115" i="10"/>
  <c r="P114" i="10"/>
  <c r="S113" i="10" l="1"/>
  <c r="T113" i="10" s="1"/>
  <c r="R113" i="10"/>
  <c r="Q114" i="10"/>
  <c r="W114" i="10"/>
  <c r="AA114" i="10" s="1"/>
  <c r="AC114" i="10" s="1"/>
  <c r="AD114" i="10" s="1"/>
  <c r="AB113" i="10"/>
  <c r="X114" i="10"/>
  <c r="P115" i="10"/>
  <c r="N115" i="10"/>
  <c r="M115" i="10" s="1"/>
  <c r="K116" i="10"/>
  <c r="V115" i="10"/>
  <c r="Y115" i="10" s="1"/>
  <c r="O116" i="10"/>
  <c r="Q115" i="10" l="1"/>
  <c r="R115" i="10" s="1"/>
  <c r="S114" i="10"/>
  <c r="T114" i="10" s="1"/>
  <c r="R114" i="10"/>
  <c r="AB114" i="10"/>
  <c r="P116" i="10"/>
  <c r="N116" i="10"/>
  <c r="M116" i="10" s="1"/>
  <c r="V116" i="10"/>
  <c r="Y116" i="10" s="1"/>
  <c r="W115" i="10"/>
  <c r="X115" i="10"/>
  <c r="S115" i="10" l="1"/>
  <c r="T115" i="10" s="1"/>
  <c r="Q116" i="10"/>
  <c r="W116" i="10"/>
  <c r="AB115" i="10"/>
  <c r="AA115" i="10"/>
  <c r="AC115" i="10" s="1"/>
  <c r="AD115" i="10" s="1"/>
  <c r="X116" i="10"/>
  <c r="S116" i="10" l="1"/>
  <c r="T116" i="10" s="1"/>
  <c r="R116" i="10"/>
  <c r="AA116" i="10"/>
  <c r="AB116" i="10"/>
  <c r="Y4" i="10" l="1"/>
  <c r="AA9" i="10"/>
  <c r="AA4" i="10"/>
  <c r="Y5" i="10"/>
  <c r="AD3" i="10"/>
  <c r="AD5" i="10"/>
  <c r="Y6" i="10"/>
  <c r="AA6" i="10" s="1"/>
  <c r="AD4" i="10"/>
  <c r="Y8" i="10"/>
  <c r="AA8" i="10"/>
  <c r="Y9" i="10"/>
  <c r="AD6" i="10"/>
  <c r="Y2" i="10"/>
  <c r="AA2" i="10" s="1"/>
  <c r="AD2" i="10"/>
  <c r="AC116" i="10"/>
  <c r="AD7" i="10" s="1"/>
  <c r="AA7" i="10" l="1"/>
  <c r="AA5" i="10"/>
  <c r="AD116" i="10"/>
</calcChain>
</file>

<file path=xl/comments1.xml><?xml version="1.0" encoding="utf-8"?>
<comments xmlns="http://schemas.openxmlformats.org/spreadsheetml/2006/main">
  <authors>
    <author>eu</author>
    <author>Ильнур</author>
  </authors>
  <commentList>
    <comment ref="K2" authorId="0" shapeId="0">
      <text>
        <r>
          <rPr>
            <sz val="8"/>
            <color indexed="81"/>
            <rFont val="Tahoma"/>
            <family val="2"/>
            <charset val="204"/>
          </rPr>
          <t>Только 0 или 1.
0 --&gt; CalcLotType=LastOrder
1--&gt; CalcLotType=MinOrder
Другие значения недопустимы.</t>
        </r>
      </text>
    </comment>
    <comment ref="A3" authorId="1" shapeId="0">
      <text>
        <r>
          <rPr>
            <sz val="9"/>
            <color indexed="81"/>
            <rFont val="Tahoma"/>
            <family val="2"/>
            <charset val="204"/>
          </rPr>
          <t>Начальное количество пипсов ТР - прибыли от сетки.   Прибавляется (с минусом) к уровню без убытка или среднеарифметическому взвешенному сетки</t>
        </r>
      </text>
    </comment>
    <comment ref="E3" authorId="1" shapeId="0">
      <text>
        <r>
          <rPr>
            <sz val="9"/>
            <color indexed="81"/>
            <rFont val="Tahoma"/>
            <family val="2"/>
            <charset val="204"/>
          </rPr>
          <t>Начальный шаг SELL сетки в пипсах</t>
        </r>
      </text>
    </comment>
    <comment ref="I3" authorId="1" shapeId="0">
      <text>
        <r>
          <rPr>
            <sz val="9"/>
            <color indexed="81"/>
            <rFont val="Tahoma"/>
            <family val="2"/>
            <charset val="204"/>
          </rPr>
          <t>Лот 1 -го (первого) минимального ордера сетки</t>
        </r>
      </text>
    </comment>
    <comment ref="K3" authorId="0" shapeId="0">
      <text>
        <r>
          <rPr>
            <sz val="8"/>
            <color indexed="81"/>
            <rFont val="Tahoma"/>
            <family val="2"/>
            <charset val="204"/>
          </rPr>
          <t>Разделитель запятая</t>
        </r>
      </text>
    </comment>
    <comment ref="I4" authorId="1" shapeId="0">
      <text>
        <r>
          <rPr>
            <sz val="9"/>
            <color indexed="81"/>
            <rFont val="Tahoma"/>
            <family val="2"/>
            <charset val="204"/>
          </rPr>
          <t>Начальный множитель лота для ордеров сетки. Чаще всего лот очередного открываемого ордера сетки = лоту последнего ордера сетки * Mult (с или без коррекции)</t>
        </r>
      </text>
    </comment>
    <comment ref="O4" authorId="0" shapeId="0">
      <text>
        <r>
          <rPr>
            <sz val="8"/>
            <color indexed="81"/>
            <rFont val="Tahoma"/>
            <family val="2"/>
            <charset val="204"/>
          </rPr>
          <t>для 5-ти знака и 3-х знака (иеновые) в 10 раз меньше, чем для 4/2 знака (на разряд больше).
Цена пипса должна коррелироваться с шагом - 
если шаг 4/2 значный, то и цена пипса должна быть задана для 4/2 значного счета.</t>
        </r>
      </text>
    </comment>
    <comment ref="I5" authorId="1" shapeId="0">
      <text>
        <r>
          <rPr>
            <sz val="9"/>
            <color indexed="81"/>
            <rFont val="Tahoma"/>
            <family val="2"/>
            <charset val="204"/>
          </rPr>
          <t>№ п/п ордера (колена) сетки, начиная с которого начинает применяться Mult. До округления лот ордера MultStart колена = MinLot * Mult</t>
        </r>
      </text>
    </comment>
    <comment ref="O6" authorId="0" shapeId="0">
      <text>
        <r>
          <rPr>
            <sz val="8"/>
            <color indexed="81"/>
            <rFont val="Tahoma"/>
            <family val="2"/>
            <charset val="204"/>
          </rPr>
          <t>Указывать для открыть и закрыть ордер.  Некоторые ДЦ дурят, указывая лишь 50% комиссии за открыть ордер и не показывая, что еще столько же взимают закрывая.</t>
        </r>
      </text>
    </comment>
    <comment ref="A7" authorId="1" shapeId="0">
      <text>
        <r>
          <rPr>
            <sz val="9"/>
            <color indexed="81"/>
            <rFont val="Tahoma"/>
            <family val="2"/>
            <charset val="204"/>
          </rPr>
          <t>№ п/п ордера (колена) сетки, начиная с которого TakeProffit будет корректироваться на TakeProffit_Level1Corr (на каждом колене)</t>
        </r>
      </text>
    </comment>
    <comment ref="E7" authorId="1" shapeId="0">
      <text>
        <r>
          <rPr>
            <sz val="9"/>
            <color indexed="81"/>
            <rFont val="Tahoma"/>
            <family val="2"/>
            <charset val="204"/>
          </rPr>
          <t>№ п/п ордера (колена) сетки, начиная с которого (включительно) текущий шаг сетки будет корректироваться на GridStep_AddPips пипсов (на каждом колене)</t>
        </r>
      </text>
    </comment>
    <comment ref="I7" authorId="1" shapeId="0">
      <text>
        <r>
          <rPr>
            <sz val="9"/>
            <color indexed="81"/>
            <rFont val="Tahoma"/>
            <family val="2"/>
            <charset val="204"/>
          </rPr>
          <t>№ п/п ордера (колена) сетки, начиная с которого (включительно) Mult корректируется на величину MultCorr (на каждом колене)</t>
        </r>
      </text>
    </comment>
    <comment ref="AG7" authorId="1" shapeId="0">
      <text>
        <r>
          <rPr>
            <sz val="10"/>
            <color indexed="81"/>
            <rFont val="Tahoma"/>
            <family val="2"/>
            <charset val="204"/>
          </rPr>
          <t>Доступный пользователям блок ячеек для ввода параметров/настроек сетки и необходимых для расчетов параметров конкретного счета и конкретной валютной пары (цена пипса, комиссия, залог за одну пару и stopout в %%) - для каждой пары и каждого счета они разные.
Причем залог и цена пипса меняется вместе с ценой пары - и их надо достаточно регулярно уточнять и обновлять в Модели</t>
        </r>
        <r>
          <rPr>
            <sz val="9"/>
            <color indexed="81"/>
            <rFont val="Tahoma"/>
            <family val="2"/>
            <charset val="204"/>
          </rPr>
          <t xml:space="preserve">.
</t>
        </r>
      </text>
    </comment>
    <comment ref="A8" authorId="1" shapeId="0">
      <text>
        <r>
          <rPr>
            <sz val="9"/>
            <color indexed="81"/>
            <rFont val="Tahoma"/>
            <family val="2"/>
            <charset val="204"/>
          </rPr>
          <t>Количество пипсов, на которое корректируется текущее/расчетное значение ТР, начиная с TakeProffit_Level1 колена. Может быть &gt;0 или &lt;0</t>
        </r>
      </text>
    </comment>
    <comment ref="E8" authorId="1" shapeId="0">
      <text>
        <r>
          <rPr>
            <sz val="9"/>
            <color indexed="81"/>
            <rFont val="Tahoma"/>
            <family val="2"/>
            <charset val="204"/>
          </rPr>
          <t>Количество пипсов, на которое будет корректироваться текущий шаг сетки на каждом колене, начиная с колена S_GridLevel. Может быть =0, &gt;0 и даже &lt;0</t>
        </r>
      </text>
    </comment>
    <comment ref="I8" authorId="1" shapeId="0">
      <text>
        <r>
          <rPr>
            <sz val="9"/>
            <color indexed="81"/>
            <rFont val="Tahoma"/>
            <family val="2"/>
            <charset val="204"/>
          </rPr>
          <t>Величина коррекции (на каждом колене) текущего/расчетного значения множителя лота сетки, начиная с колена MultLevel2 включительно</t>
        </r>
      </text>
    </comment>
    <comment ref="O8" authorId="0" shapeId="0">
      <text>
        <r>
          <rPr>
            <sz val="8"/>
            <color indexed="81"/>
            <rFont val="Tahoma"/>
            <family val="2"/>
            <charset val="204"/>
          </rPr>
          <t>Плавно меняется вместе с ценой, брать из лога бота, скрипта Info или любого источника. Решающе зависит от плеча. Нужен для оценки минимально нужного депо и размера просадки до StopOut.</t>
        </r>
      </text>
    </comment>
    <comment ref="A10" authorId="1" shapeId="0">
      <text>
        <r>
          <rPr>
            <sz val="9"/>
            <color indexed="81"/>
            <rFont val="Tahoma"/>
            <family val="2"/>
            <charset val="204"/>
          </rPr>
          <t>№ п/п ордера (колена) сетки, начиная с которого уровень ТР сетки жестко выставляется на уровень без убытка - TakeProffit_Level2FixPips</t>
        </r>
      </text>
    </comment>
    <comment ref="E10" authorId="1" shapeId="0">
      <text>
        <r>
          <rPr>
            <sz val="9"/>
            <color indexed="81"/>
            <rFont val="Tahoma"/>
            <family val="2"/>
            <charset val="204"/>
          </rPr>
          <t>№ п/п ордера (колена) сетки, начиная с которого (включительно) текущий шаг сетки будет корректироваться на GridStep_Level2_AddPips пипс (на каждом колене)</t>
        </r>
      </text>
    </comment>
    <comment ref="I10" authorId="1" shapeId="0">
      <text>
        <r>
          <rPr>
            <sz val="9"/>
            <color indexed="81"/>
            <rFont val="Tahoma"/>
            <family val="2"/>
            <charset val="204"/>
          </rPr>
          <t>№ п/п ордера (колена) сетки, начиная с которого (включительно) Mult корректируется на величину MultСorrLevel3 (на каждом колене)</t>
        </r>
      </text>
    </comment>
    <comment ref="O10" authorId="0" shapeId="0">
      <text>
        <r>
          <rPr>
            <sz val="8"/>
            <color indexed="81"/>
            <rFont val="Tahoma"/>
            <family val="2"/>
            <charset val="204"/>
          </rPr>
          <t>Для корректности расчетов должно быть &gt;0.
Минимально необходимый депо вычисляется (подбирается) вами в процессе моделирования для сетки с заданными вами параметрами.
Если вы проектируете сетку, например, длиной сколько надо пипсов в максимум 15 колен, то достаточность (необходимый вам) депо надо смотреть на уровне (в строке) 15-го колена.
В итоге моделирования вы должны определить (подобрать) какой депо вам достаточен (нужен для торгов) для сетки из ордеров заданной вами лотности и длины в пипсах.</t>
        </r>
      </text>
    </comment>
    <comment ref="A11" authorId="1" shapeId="0">
      <text>
        <r>
          <rPr>
            <sz val="9"/>
            <color indexed="81"/>
            <rFont val="Tahoma"/>
            <family val="2"/>
            <charset val="204"/>
          </rPr>
          <t>Количество пипсов отступа в плюс (прибыли) от уровня безубытка сетки, фиксированно выставляемого начиная с TakeProffit_Level2 колена</t>
        </r>
      </text>
    </comment>
    <comment ref="E11" authorId="1" shapeId="0">
      <text>
        <r>
          <rPr>
            <sz val="9"/>
            <color indexed="81"/>
            <rFont val="Tahoma"/>
            <family val="2"/>
            <charset val="204"/>
          </rPr>
          <t>Количество пипсов, на которое будет корректироваться текущий шаг сетки на каждом колене, начиная с колена GridLevel_Level2. Может быть =0, &gt;0 и даже &lt;0</t>
        </r>
      </text>
    </comment>
    <comment ref="I11" authorId="1" shapeId="0">
      <text>
        <r>
          <rPr>
            <sz val="9"/>
            <color indexed="81"/>
            <rFont val="Tahoma"/>
            <family val="2"/>
            <charset val="204"/>
          </rPr>
          <t>Величина коррекции (на каждом колене) текущего/расчетного значения множителя лота сетки, начиная с колена MultLevel3 включительно</t>
        </r>
      </text>
    </comment>
    <comment ref="E13" authorId="1" shapeId="0">
      <text>
        <r>
          <rPr>
            <sz val="9"/>
            <color indexed="81"/>
            <rFont val="Tahoma"/>
            <family val="2"/>
            <charset val="204"/>
          </rPr>
          <t xml:space="preserve">Если =0 - отключен. GridStop это № колена, на котором поправки шага сетки срабатывают последний раз.
До конца сетки (после GridStop колена) шаг становится фиксированным и равным шагу сетки на GridStop колене.
</t>
        </r>
      </text>
    </comment>
    <comment ref="I13" authorId="1" shapeId="0">
      <text>
        <r>
          <rPr>
            <sz val="9"/>
            <color indexed="81"/>
            <rFont val="Tahoma"/>
            <family val="2"/>
            <charset val="204"/>
          </rPr>
          <t xml:space="preserve">Если = 0 - отключена. MultStop это №колена, на котором последний раз применяются корректирующие мульт параметры MultCorr и MultСorrLevel3 (если пользователь их задействовал).
MultStop это номер колена, после которого до конца сетки множитель лота (мульт) фиксируется и будет одинаковым вплоть до последнего колена сетки (включительно).
</t>
        </r>
      </text>
    </comment>
    <comment ref="I14" authorId="1" shapeId="0">
      <text>
        <r>
          <rPr>
            <sz val="9"/>
            <color indexed="81"/>
            <rFont val="Tahoma"/>
            <family val="2"/>
            <charset val="204"/>
          </rPr>
          <t xml:space="preserve">MaxLotCoef это задаваемый пользователем коэффициент максимального лота ордера любого колена сетки.
MaxLotCoef позволяет вычислить максимальный лот, с которым боту разрешено открывать рыночные (выставлять отложенные) ордера.
Ордера с лотом большим, чем разрешенным|заданным MaxLotCoef, бот открывать не будет.    Если MaxLotCoef=0 – контроль/ограничение максимального лота ордера отключено.
Традиционно в ботах максимально разрешенный лот ордера в сетке задается константой в лотах. У нас максимально допустимый лот ордера в сетке вычисляется от лота первого ордера сетки - что делает максимального лот ордера динамическим и пропорциональным размеру депо (если CurrencyForMinLot&gt;0 и лот первого ордера сетки не фиксированный, а вычисляемый в зависимости от размера депо).
MaxLotCoef указывает максимальный ордер в сетке как максимально разрешенное количество первых ордеров сетки – с лотом фиксированным или вычисленным в зависимости от размера депо.
Если расчетный лот очередного ордера сетки превысит MaxLotCoef * лот первого ордера сетки, то откроется ордер с лотом равным MaxLotCoef * лот первого ордера сетки.
Например, MaxLotCoef=150, при первом ордере сетки 0.02 лота, разрешают максимальный ордер для sell сеток =3 лота.    Данная опция позволяет применять усреднение на последних ордерах сеток.
</t>
        </r>
      </text>
    </comment>
    <comment ref="F15" authorId="0" shapeId="0">
      <text>
        <r>
          <rPr>
            <sz val="8"/>
            <color indexed="81"/>
            <rFont val="Tahoma"/>
            <family val="2"/>
            <charset val="204"/>
          </rPr>
          <t>Шаг, указываемый в строке N колена, есть расстояние между ордерами N-го и N-1 колена.</t>
        </r>
      </text>
    </comment>
    <comment ref="M15" authorId="0" shapeId="0">
      <text>
        <r>
          <rPr>
            <sz val="8"/>
            <color indexed="81"/>
            <rFont val="Tahoma"/>
            <family val="2"/>
            <charset val="204"/>
          </rPr>
          <t>При закрытии по ТР. Комиссия вычтена.</t>
        </r>
      </text>
    </comment>
    <comment ref="N15" authorId="0" shapeId="0">
      <text>
        <r>
          <rPr>
            <sz val="8"/>
            <color indexed="81"/>
            <rFont val="Tahoma"/>
            <family val="2"/>
            <charset val="204"/>
          </rPr>
          <t xml:space="preserve">С учетом ордера текущего колена
</t>
        </r>
      </text>
    </comment>
    <comment ref="O15" authorId="0" shapeId="0">
      <text>
        <r>
          <rPr>
            <sz val="8"/>
            <color indexed="81"/>
            <rFont val="Tahoma"/>
            <family val="2"/>
            <charset val="204"/>
          </rPr>
          <t>Без учета ордера текущего N-го колена, так как формально он не в просадке (хотя и на спрэд в минусе).
Комиссия всех N ордеров включена.
Спрэд не учитывается - плавает и сложно.</t>
        </r>
      </text>
    </comment>
    <comment ref="V15" authorId="0" shapeId="0">
      <text>
        <r>
          <rPr>
            <sz val="8"/>
            <color indexed="81"/>
            <rFont val="Tahoma"/>
            <family val="2"/>
            <charset val="204"/>
          </rPr>
          <t>Сумма залогов всех ордеров по N-е (текущее, анализируемое) колено включительно.</t>
        </r>
      </text>
    </comment>
    <comment ref="W15" authorId="0" shapeId="0">
      <text>
        <r>
          <rPr>
            <sz val="8"/>
            <color indexed="81"/>
            <rFont val="Tahoma"/>
            <family val="2"/>
            <charset val="204"/>
          </rPr>
          <t>Это = Минимальному депо (+ ~2%) для открытия всех ордеров по N-е (очередное) колено включительно. Включает всё - просадку от начала сетки, залог и комиссии N ордеров).</t>
        </r>
      </text>
    </comment>
    <comment ref="AA15" authorId="0" shapeId="0">
      <text>
        <r>
          <rPr>
            <sz val="8"/>
            <color indexed="81"/>
            <rFont val="Tahoma"/>
            <family val="2"/>
            <charset val="204"/>
          </rPr>
          <t>То, что в МТ4 называют свободные средства, свободная маржа или Free Margin - это незадействованная часть депо после покрытия всей просадки, резервирования залога, уплаты комиссии и открытия ордера N-го (анализируемого) колена.</t>
        </r>
      </text>
    </comment>
    <comment ref="AC15" authorId="0" shapeId="0">
      <text>
        <r>
          <rPr>
            <sz val="8"/>
            <color indexed="81"/>
            <rFont val="Tahoma"/>
            <family val="2"/>
            <charset val="204"/>
          </rPr>
          <t xml:space="preserve">Если </t>
        </r>
        <r>
          <rPr>
            <b/>
            <sz val="8"/>
            <color indexed="20"/>
            <rFont val="Tahoma"/>
            <family val="2"/>
            <charset val="204"/>
          </rPr>
          <t>StopOut</t>
        </r>
        <r>
          <rPr>
            <sz val="8"/>
            <color indexed="81"/>
            <rFont val="Tahoma"/>
            <family val="2"/>
            <charset val="204"/>
          </rPr>
          <t>&lt;100%, часть средств из залога (маржи) идет на покрытие просадки - т.е.  средств доступно чуть больше, чем</t>
        </r>
        <r>
          <rPr>
            <b/>
            <sz val="8"/>
            <color indexed="12"/>
            <rFont val="Tahoma"/>
            <family val="2"/>
            <charset val="204"/>
          </rPr>
          <t xml:space="preserve"> Св.Маржа</t>
        </r>
      </text>
    </comment>
    <comment ref="AG15" authorId="1" shapeId="0">
      <text>
        <r>
          <rPr>
            <sz val="10"/>
            <color indexed="81"/>
            <rFont val="Tahoma"/>
            <family val="2"/>
            <charset val="204"/>
          </rPr>
          <t>Защищенный от случайного стирания/повреждения блок собственно модели, где выполняются, как я считаю, все необходимые пользователям расчеты и визуализируется вся необходимая пользователям Бота информация.</t>
        </r>
      </text>
    </comment>
    <comment ref="O16" authorId="0" shapeId="0">
      <text>
        <r>
          <rPr>
            <sz val="8"/>
            <color indexed="81"/>
            <rFont val="Tahoma"/>
            <family val="2"/>
            <charset val="204"/>
          </rPr>
          <t>Включая комиссию</t>
        </r>
      </text>
    </comment>
    <comment ref="Q16" authorId="0" shapeId="0">
      <text>
        <r>
          <rPr>
            <sz val="8"/>
            <color indexed="81"/>
            <rFont val="Tahoma"/>
            <family val="2"/>
            <charset val="204"/>
          </rPr>
          <t>Расстояние от наибольшего открытого ордера сетки 
(N-го колена)</t>
        </r>
      </text>
    </comment>
    <comment ref="R16" authorId="0" shapeId="0">
      <text>
        <r>
          <rPr>
            <sz val="8"/>
            <color indexed="81"/>
            <rFont val="Tahoma"/>
            <family val="2"/>
            <charset val="204"/>
          </rPr>
          <t>от длины сетки (от 1-го ордера до N-го колена)</t>
        </r>
      </text>
    </comment>
    <comment ref="S16" authorId="0" shapeId="0">
      <text>
        <r>
          <rPr>
            <sz val="8"/>
            <color indexed="81"/>
            <rFont val="Tahoma"/>
            <family val="2"/>
            <charset val="204"/>
          </rPr>
          <t>Расстояние от наибольшего открытого ордера сетки 
(N-го колена)</t>
        </r>
      </text>
    </comment>
    <comment ref="T16" authorId="0" shapeId="0">
      <text>
        <r>
          <rPr>
            <sz val="8"/>
            <color indexed="81"/>
            <rFont val="Tahoma"/>
            <family val="2"/>
            <charset val="204"/>
          </rPr>
          <t>от длины сетки (от 1-го ордера до N-го колена)</t>
        </r>
      </text>
    </comment>
    <comment ref="R17" authorId="0" shapeId="0">
      <text>
        <r>
          <rPr>
            <sz val="8"/>
            <color indexed="81"/>
            <rFont val="Tahoma"/>
            <family val="2"/>
            <charset val="204"/>
          </rPr>
          <t>Первый ордер - сетки и длины сетки еще нет.</t>
        </r>
      </text>
    </comment>
    <comment ref="B120" authorId="1" shapeId="0">
      <text>
        <r>
          <rPr>
            <sz val="10"/>
            <color indexed="81"/>
            <rFont val="Tahoma"/>
            <family val="2"/>
            <charset val="204"/>
          </rPr>
          <t>Блок расчета и визуализации ТakeРrofit: количества пипсов чистой прибыли - размещаются после/дальше уровня безубытка сетки в направлении начала сетки.
Зона ТР сетки, в зависимости от количества колен и длины сетки, может начинаться как в 7-10, так и в 100 пипсах от старшего ордера сетки.
В большинстве средних по агрессивности сеток из 3-х и более ордеров зона ТР размещается/завершается в районе 3-го из максимальных ордеров сетки.</t>
        </r>
      </text>
    </comment>
    <comment ref="F120" authorId="1" shapeId="0">
      <text>
        <r>
          <rPr>
            <sz val="10"/>
            <color indexed="81"/>
            <rFont val="Tahoma"/>
            <family val="2"/>
            <charset val="204"/>
          </rPr>
          <t xml:space="preserve">Блок расчета и визуализации шагов колен/ордеров сетки и критично важной длины сетки.
В этом блоке определяется расстановка ордеров таким образом, чтобы не только перекрыть вероятный торговый диапазон пары (например, =350 пипсов), но и расставить первые 5-7-10 ордеров (в среднем &gt;95% сеток именно таких) оптимально для быстрого закрытия сетки по ТР на минимальном отскоке цены и с учетом устраивающей вас прибыли.
</t>
        </r>
      </text>
    </comment>
    <comment ref="J120" authorId="1" shapeId="0">
      <text>
        <r>
          <rPr>
            <sz val="10"/>
            <color indexed="81"/>
            <rFont val="Tahoma"/>
            <family val="2"/>
            <charset val="204"/>
          </rPr>
          <t xml:space="preserve">Блок расчета и визуализации лотов ордеров сетки.
Чрезвычайно важный блок, в который нами еще будут добавлены дополнительные опции контроля и модифицирования лотности сетки.
То, что будет добавлено в Бота, будет добавлено и в Модель.
</t>
        </r>
      </text>
    </comment>
    <comment ref="P120" authorId="1" shapeId="0">
      <text>
        <r>
          <rPr>
            <sz val="10"/>
            <color indexed="81"/>
            <rFont val="Tahoma"/>
            <family val="2"/>
            <charset val="204"/>
          </rPr>
          <t xml:space="preserve">Блок расчета и визуализации первой, наиболее анализируемой части характеристик проектируемой сетки.
Здесь, для каждого колена сетки, показаны уровни безубытка и ТР сетки - информация исключительной важности для оценки вероятности и частоты закрываемости сетки по ТР с учетом фибо уровней вероятных отскоков/коррекций.
Здесь же расчетная просадка, крайне важная для верного контроля ММ.
Здесь же и расчетная прибыль на каждом колене - крайне важная для анализа степени агрессивности сетки и адекватности проектирования сетки, в том числе на младших коленах.  </t>
        </r>
      </text>
    </comment>
    <comment ref="W120" authorId="1" shapeId="0">
      <text>
        <r>
          <rPr>
            <sz val="10"/>
            <color indexed="81"/>
            <rFont val="Tahoma"/>
            <family val="2"/>
            <charset val="204"/>
          </rPr>
          <t xml:space="preserve">Блок расчета и визуализации информации о залоге и средствах, которые необходимо на залог резервировать.
По данному вопросу терминал информации практически не выдает - а она исключительно важна.
Многих удивит, что даже на плече 1:500 на первых 7 коленах сетки залог обычно превышает просадку - что означает, что минимальный депо должен более чем вдвое превышать просадку, на которую все не отрывая глаз смотрят при тестировании ботов.
Так что тем, кто хочет пробовать торговать депо-камикадзе, надо предельно серьезно отнестись к информации из 5-го блока Модели. 
</t>
        </r>
      </text>
    </comment>
    <comment ref="AC120" authorId="1" shapeId="0">
      <text>
        <r>
          <rPr>
            <sz val="10"/>
            <color indexed="81"/>
            <rFont val="Tahoma"/>
            <family val="2"/>
            <charset val="204"/>
          </rPr>
          <t>Блок расчета и визуализации информации о депо, необходимом для проектируемой вами сетки, и финальная информация о том на сколько пипсов движения цены хватит указанного вами депо.
Вычисление необходимого вам для торгов спроектированной вами сеткой депо требует максимум одного сложения или вычитания с занесением результата в ячейку "Депо, $".</t>
        </r>
      </text>
    </comment>
  </commentList>
</comments>
</file>

<file path=xl/comments2.xml><?xml version="1.0" encoding="utf-8"?>
<comments xmlns="http://schemas.openxmlformats.org/spreadsheetml/2006/main">
  <authors>
    <author>eu</author>
  </authors>
  <commentList>
    <comment ref="B7" authorId="0" shapeId="0">
      <text>
        <r>
          <rPr>
            <sz val="8"/>
            <color indexed="81"/>
            <rFont val="Tahoma"/>
            <family val="2"/>
            <charset val="204"/>
          </rPr>
          <t xml:space="preserve">дата вводится в формате </t>
        </r>
        <r>
          <rPr>
            <b/>
            <sz val="8"/>
            <color indexed="81"/>
            <rFont val="Tahoma"/>
            <family val="2"/>
            <charset val="204"/>
          </rPr>
          <t>ДД.ММ.ГГГГ</t>
        </r>
      </text>
    </comment>
    <comment ref="D9" authorId="0" shapeId="0">
      <text>
        <r>
          <rPr>
            <sz val="8"/>
            <color indexed="81"/>
            <rFont val="Tahoma"/>
            <family val="2"/>
            <charset val="204"/>
          </rPr>
          <t>для 5-тизнака цена пункта в 10 раз меньше, чем для 4-хзнака.</t>
        </r>
      </text>
    </comment>
  </commentList>
</comments>
</file>

<file path=xl/connections.xml><?xml version="1.0" encoding="utf-8"?>
<connections xmlns="http://schemas.openxmlformats.org/spreadsheetml/2006/main">
  <connection id="1" keepAlive="1" name="Запрос — Table 0" description="Соединение с запросом &quot;Table 0&quot; в книге." type="5" refreshedVersion="6" background="1" refreshOnLoad="1" saveData="1">
    <dbPr connection="Provider=Microsoft.Mashup.OleDb.1;Data Source=$Workbook$;Location=Table 0;Extended Properties=&quot;&quot;" command="SELECT * FROM [Table 0]"/>
  </connection>
  <connection id="2" keepAlive="1" name="Запрос — Table 1" description="Соединение с запросом &quot;Table 1&quot; в книге." type="5" refreshedVersion="6" background="1" refreshOnLoad="1" saveData="1">
    <dbPr connection="Provider=Microsoft.Mashup.OleDb.1;Data Source=$Workbook$;Location=Table 1;Extended Properties=&quot;&quot;" command="SELECT * FROM [Table 1]"/>
  </connection>
</connections>
</file>

<file path=xl/sharedStrings.xml><?xml version="1.0" encoding="utf-8"?>
<sst xmlns="http://schemas.openxmlformats.org/spreadsheetml/2006/main" count="292" uniqueCount="212">
  <si>
    <t>MinLot</t>
  </si>
  <si>
    <t>Mult</t>
  </si>
  <si>
    <t>MultLevel2</t>
  </si>
  <si>
    <t>MultCorr</t>
  </si>
  <si>
    <t>MultLevel3</t>
  </si>
  <si>
    <t>MultСorrLevel3</t>
  </si>
  <si>
    <t>MultStart</t>
  </si>
  <si>
    <t>№№ колен</t>
  </si>
  <si>
    <t>Мульт</t>
  </si>
  <si>
    <t>Ордер</t>
  </si>
  <si>
    <t>GridStep</t>
  </si>
  <si>
    <t>GridLevel</t>
  </si>
  <si>
    <t>GridStep_AddPips</t>
  </si>
  <si>
    <t>GridStep_Level2</t>
  </si>
  <si>
    <t>GridStep_Level2_AddPips</t>
  </si>
  <si>
    <t>Коррект</t>
  </si>
  <si>
    <t>TP</t>
  </si>
  <si>
    <t>TakeProffit</t>
  </si>
  <si>
    <t>TakeProffit_Level1</t>
  </si>
  <si>
    <t>TakeProffit_Level1Corr</t>
  </si>
  <si>
    <t>TakeProffit_Level2</t>
  </si>
  <si>
    <t>TakeProffit_Level2FixPips</t>
  </si>
  <si>
    <t>$/пипс</t>
  </si>
  <si>
    <t>Пара</t>
  </si>
  <si>
    <t>Значность</t>
  </si>
  <si>
    <t>Цена пипса, $</t>
  </si>
  <si>
    <t>Залог 1 лот, $</t>
  </si>
  <si>
    <t>Комиссия, $</t>
  </si>
  <si>
    <t>StopOut, %</t>
  </si>
  <si>
    <t xml:space="preserve">Депо, $ </t>
  </si>
  <si>
    <t>Прибыль $</t>
  </si>
  <si>
    <t>Залог, $</t>
  </si>
  <si>
    <r>
      <t xml:space="preserve">Просадка + залог =  </t>
    </r>
    <r>
      <rPr>
        <b/>
        <sz val="11"/>
        <rFont val="Arial Cyr"/>
        <charset val="204"/>
      </rPr>
      <t>%%депо</t>
    </r>
  </si>
  <si>
    <t>Залог к депо, %</t>
  </si>
  <si>
    <r>
      <t>Просадка + залог, $</t>
    </r>
    <r>
      <rPr>
        <sz val="10"/>
        <rFont val="Arial Cyr"/>
        <charset val="204"/>
      </rPr>
      <t xml:space="preserve"> </t>
    </r>
    <r>
      <rPr>
        <sz val="9"/>
        <rFont val="Arial Cyr"/>
        <charset val="204"/>
      </rPr>
      <t>(включая комиссию)</t>
    </r>
  </si>
  <si>
    <r>
      <t xml:space="preserve">Залог к просадке </t>
    </r>
    <r>
      <rPr>
        <sz val="9"/>
        <rFont val="Arial Cyr"/>
        <charset val="204"/>
      </rPr>
      <t>(включая комиссию)</t>
    </r>
  </si>
  <si>
    <r>
      <t>Сетка</t>
    </r>
    <r>
      <rPr>
        <sz val="10"/>
        <rFont val="Arial"/>
        <family val="2"/>
        <charset val="204"/>
      </rPr>
      <t xml:space="preserve"> пипсов от 1-го ордера</t>
    </r>
  </si>
  <si>
    <r>
      <t>Шаг</t>
    </r>
    <r>
      <rPr>
        <sz val="10"/>
        <rFont val="Arial"/>
        <family val="2"/>
        <charset val="204"/>
      </rPr>
      <t>, пипсов</t>
    </r>
  </si>
  <si>
    <r>
      <t xml:space="preserve">Лотов </t>
    </r>
    <r>
      <rPr>
        <sz val="10"/>
        <rFont val="Arial"/>
        <family val="2"/>
        <charset val="204"/>
      </rPr>
      <t>сумма</t>
    </r>
  </si>
  <si>
    <t>Max просадка до StopOut в пипсах от:</t>
  </si>
  <si>
    <t>№№ ко-лен</t>
  </si>
  <si>
    <t>Валютная пара</t>
  </si>
  <si>
    <t>Цена пункта, $</t>
  </si>
  <si>
    <t>1:500</t>
  </si>
  <si>
    <t>4-хзнак</t>
  </si>
  <si>
    <t>№№ пп</t>
  </si>
  <si>
    <t>Св.Маржа = Депо - просадка-залог, $</t>
  </si>
  <si>
    <t>GridStop</t>
  </si>
  <si>
    <t>MultStop</t>
  </si>
  <si>
    <t>Кор-рект</t>
  </si>
  <si>
    <t>CalcLotType</t>
  </si>
  <si>
    <t>MaxLotCoef</t>
  </si>
  <si>
    <t>Column1</t>
  </si>
  <si>
    <t>Валюта</t>
  </si>
  <si>
    <t>Пипсы</t>
  </si>
  <si>
    <t>%</t>
  </si>
  <si>
    <t/>
  </si>
  <si>
    <t>GBP/JPY</t>
  </si>
  <si>
    <t>GBP/NZD</t>
  </si>
  <si>
    <t>AUD/CAD</t>
  </si>
  <si>
    <t>GBP/USD</t>
  </si>
  <si>
    <t>AUD/CHF</t>
  </si>
  <si>
    <t>NZD/JPY</t>
  </si>
  <si>
    <t>AUD/JPY</t>
  </si>
  <si>
    <t>NZD/USD</t>
  </si>
  <si>
    <t>AUD/NZD</t>
  </si>
  <si>
    <t>USD/BRL</t>
  </si>
  <si>
    <t>AUD/USD</t>
  </si>
  <si>
    <t>USD/CAD</t>
  </si>
  <si>
    <t>BTC/EUR</t>
  </si>
  <si>
    <t>USD/CHF</t>
  </si>
  <si>
    <t>BTC/USD</t>
  </si>
  <si>
    <t>CAD/CHF</t>
  </si>
  <si>
    <t>USD/DKK</t>
  </si>
  <si>
    <t>CAD/JPY</t>
  </si>
  <si>
    <t>USD/HKD</t>
  </si>
  <si>
    <t>CHF/JPY</t>
  </si>
  <si>
    <t>USD/ILS</t>
  </si>
  <si>
    <t>EUR/AUD</t>
  </si>
  <si>
    <t>USD/INR</t>
  </si>
  <si>
    <t>EUR/CAD</t>
  </si>
  <si>
    <t>USD/JPY</t>
  </si>
  <si>
    <t>EUR/CHF</t>
  </si>
  <si>
    <t>EUR/GBP</t>
  </si>
  <si>
    <t>USD/SEK</t>
  </si>
  <si>
    <t>EUR/JPY</t>
  </si>
  <si>
    <t>USD/SGD</t>
  </si>
  <si>
    <t>EUR/NZD</t>
  </si>
  <si>
    <t>USD/TRY</t>
  </si>
  <si>
    <t>EUR/USD</t>
  </si>
  <si>
    <t>XAG/USD</t>
  </si>
  <si>
    <t>GBP/AUD</t>
  </si>
  <si>
    <t>XAU/USD</t>
  </si>
  <si>
    <t>GBP/CAD</t>
  </si>
  <si>
    <t>GBP/CHF</t>
  </si>
  <si>
    <t>Спред</t>
  </si>
  <si>
    <t>NZD/CAD</t>
  </si>
  <si>
    <t>NZD/CHF</t>
  </si>
  <si>
    <t>USD/CNY</t>
  </si>
  <si>
    <t>USD/MXN</t>
  </si>
  <si>
    <t>USD/RUB</t>
  </si>
  <si>
    <t>USD/ZAR</t>
  </si>
  <si>
    <t>0,04</t>
  </si>
  <si>
    <r>
      <t>Просадка,</t>
    </r>
    <r>
      <rPr>
        <sz val="12"/>
        <color indexed="12"/>
        <rFont val="Arial"/>
        <family val="2"/>
        <charset val="204"/>
      </rPr>
      <t xml:space="preserve"> 
$ / %</t>
    </r>
  </si>
  <si>
    <r>
      <t xml:space="preserve">Безубыток, 
</t>
    </r>
    <r>
      <rPr>
        <sz val="10"/>
        <rFont val="Arial"/>
        <family val="2"/>
        <charset val="204"/>
      </rPr>
      <t>пипсов / %</t>
    </r>
  </si>
  <si>
    <r>
      <t xml:space="preserve">ТР, 
</t>
    </r>
    <r>
      <rPr>
        <sz val="10"/>
        <rFont val="Arial"/>
        <family val="2"/>
        <charset val="204"/>
      </rPr>
      <t>пипсов / %</t>
    </r>
  </si>
  <si>
    <t>$</t>
  </si>
  <si>
    <t>Сумма лотов</t>
  </si>
  <si>
    <r>
      <rPr>
        <b/>
        <sz val="10"/>
        <rFont val="Arial Cyr"/>
        <charset val="204"/>
      </rPr>
      <t>Шаг</t>
    </r>
    <r>
      <rPr>
        <sz val="10"/>
        <rFont val="Arial Cyr"/>
        <charset val="204"/>
      </rPr>
      <t>, писпсов</t>
    </r>
  </si>
  <si>
    <r>
      <t>Количество</t>
    </r>
    <r>
      <rPr>
        <sz val="10"/>
        <rFont val="Arial Cyr"/>
        <charset val="204"/>
      </rPr>
      <t>, колен</t>
    </r>
  </si>
  <si>
    <r>
      <rPr>
        <b/>
        <sz val="10"/>
        <rFont val="Arial Cyr"/>
        <charset val="204"/>
      </rPr>
      <t>Прибыль первого колена</t>
    </r>
    <r>
      <rPr>
        <sz val="10"/>
        <rFont val="Arial Cyr"/>
        <charset val="204"/>
      </rPr>
      <t>, $ / %</t>
    </r>
  </si>
  <si>
    <r>
      <rPr>
        <b/>
        <sz val="10"/>
        <rFont val="Arial Cyr"/>
        <charset val="204"/>
      </rPr>
      <t>Прибыль последнего колена</t>
    </r>
    <r>
      <rPr>
        <sz val="10"/>
        <rFont val="Arial Cyr"/>
        <charset val="204"/>
      </rPr>
      <t>, $ / %</t>
    </r>
  </si>
  <si>
    <r>
      <rPr>
        <b/>
        <sz val="10"/>
        <rFont val="Arial Cyr"/>
        <charset val="204"/>
      </rPr>
      <t>Ср/вз прибыль</t>
    </r>
    <r>
      <rPr>
        <sz val="10"/>
        <rFont val="Arial Cyr"/>
        <charset val="204"/>
      </rPr>
      <t>, $ / %</t>
    </r>
  </si>
  <si>
    <r>
      <rPr>
        <b/>
        <sz val="10"/>
        <rFont val="Arial Cyr"/>
        <charset val="204"/>
      </rPr>
      <t>Ср/вз просадка</t>
    </r>
    <r>
      <rPr>
        <sz val="10"/>
        <rFont val="Arial Cyr"/>
        <charset val="204"/>
      </rPr>
      <t>, $ / $</t>
    </r>
  </si>
  <si>
    <t>% депо</t>
  </si>
  <si>
    <t>Пипсов</t>
  </si>
  <si>
    <t>%%</t>
  </si>
  <si>
    <t>Колена N</t>
  </si>
  <si>
    <t>1го ордера</t>
  </si>
  <si>
    <t>Параметры сетки</t>
  </si>
  <si>
    <t>Характеристика сетки</t>
  </si>
  <si>
    <t>Шаблоны</t>
  </si>
  <si>
    <t>Характеристики пары</t>
  </si>
  <si>
    <t xml:space="preserve">Спред </t>
  </si>
  <si>
    <t>в разработке</t>
  </si>
  <si>
    <r>
      <rPr>
        <b/>
        <sz val="10"/>
        <rFont val="Arial Cyr"/>
        <charset val="204"/>
      </rPr>
      <t>КПД (прибыль/просадка)</t>
    </r>
    <r>
      <rPr>
        <sz val="10"/>
        <rFont val="Arial Cyr"/>
        <charset val="204"/>
      </rPr>
      <t>, %</t>
    </r>
  </si>
  <si>
    <t>Заполняется вручную, согласно типу счета и торгуемым условиям вашего брокера</t>
  </si>
  <si>
    <t>Таблица обновляется автоматически при откртыии модели с сайта:</t>
  </si>
  <si>
    <r>
      <rPr>
        <b/>
        <sz val="10"/>
        <rFont val="Arial Cyr"/>
        <charset val="204"/>
      </rPr>
      <t>Длина</t>
    </r>
    <r>
      <rPr>
        <sz val="10"/>
        <rFont val="Arial Cyr"/>
        <charset val="204"/>
      </rPr>
      <t>, пипсов</t>
    </r>
  </si>
  <si>
    <t>1,01</t>
  </si>
  <si>
    <t>1,12</t>
  </si>
  <si>
    <t>1,38</t>
  </si>
  <si>
    <t>0,78</t>
  </si>
  <si>
    <t>0,54</t>
  </si>
  <si>
    <t>1,03</t>
  </si>
  <si>
    <t>1,10</t>
  </si>
  <si>
    <t>1,24</t>
  </si>
  <si>
    <t>0,98</t>
  </si>
  <si>
    <t>0,82</t>
  </si>
  <si>
    <t>0,84</t>
  </si>
  <si>
    <t>0,21</t>
  </si>
  <si>
    <t>0,94</t>
  </si>
  <si>
    <t>1,28</t>
  </si>
  <si>
    <t>2,19</t>
  </si>
  <si>
    <t>1,14</t>
  </si>
  <si>
    <t>1,32</t>
  </si>
  <si>
    <t>0,74</t>
  </si>
  <si>
    <t>0,45</t>
  </si>
  <si>
    <t>1,13</t>
  </si>
  <si>
    <t>1,83</t>
  </si>
  <si>
    <t>6,714,78</t>
  </si>
  <si>
    <t>50,10</t>
  </si>
  <si>
    <t>1,728,56</t>
  </si>
  <si>
    <t>95,10</t>
  </si>
  <si>
    <t>2,18</t>
  </si>
  <si>
    <t>1,39</t>
  </si>
  <si>
    <t>1,21</t>
  </si>
  <si>
    <t>1,46</t>
  </si>
  <si>
    <r>
      <t>Запас пр-ти</t>
    </r>
    <r>
      <rPr>
        <sz val="10"/>
        <rFont val="Arial Cyr"/>
        <charset val="204"/>
      </rPr>
      <t>, пипсов</t>
    </r>
  </si>
  <si>
    <r>
      <rPr>
        <b/>
        <sz val="10"/>
        <rFont val="Arial Cyr"/>
        <charset val="204"/>
      </rPr>
      <t>БУ</t>
    </r>
    <r>
      <rPr>
        <sz val="10"/>
        <rFont val="Arial Cyr"/>
        <charset val="204"/>
      </rPr>
      <t>, пипсов / %</t>
    </r>
  </si>
  <si>
    <r>
      <rPr>
        <b/>
        <sz val="10"/>
        <rFont val="Arial Cyr"/>
        <charset val="204"/>
      </rPr>
      <t>ТР</t>
    </r>
    <r>
      <rPr>
        <sz val="10"/>
        <rFont val="Arial Cyr"/>
        <charset val="204"/>
      </rPr>
      <t>, пипсов / %</t>
    </r>
  </si>
  <si>
    <t>95,96</t>
  </si>
  <si>
    <t>0,97</t>
  </si>
  <si>
    <t>1,30</t>
  </si>
  <si>
    <t>113,84</t>
  </si>
  <si>
    <t>1,49</t>
  </si>
  <si>
    <t>104,14</t>
  </si>
  <si>
    <t>80,04</t>
  </si>
  <si>
    <t>1,07</t>
  </si>
  <si>
    <t>1,431,89</t>
  </si>
  <si>
    <t>2,62</t>
  </si>
  <si>
    <t>1,332,01</t>
  </si>
  <si>
    <t>81,68</t>
  </si>
  <si>
    <t>107,94</t>
  </si>
  <si>
    <t>108,94</t>
  </si>
  <si>
    <t>1,05</t>
  </si>
  <si>
    <t>167,84</t>
  </si>
  <si>
    <t>149,70</t>
  </si>
  <si>
    <t>1,02</t>
  </si>
  <si>
    <t>66,38</t>
  </si>
  <si>
    <t>0,61</t>
  </si>
  <si>
    <t>106,44</t>
  </si>
  <si>
    <t>111,78</t>
  </si>
  <si>
    <t>171,96</t>
  </si>
  <si>
    <t>87,50</t>
  </si>
  <si>
    <t>235,22</t>
  </si>
  <si>
    <t>1,36</t>
  </si>
  <si>
    <t>210,30</t>
  </si>
  <si>
    <t>1,23</t>
  </si>
  <si>
    <t>154,54</t>
  </si>
  <si>
    <t>194,26</t>
  </si>
  <si>
    <t>246,74</t>
  </si>
  <si>
    <t>148,14</t>
  </si>
  <si>
    <t>98,80</t>
  </si>
  <si>
    <t>1,33</t>
  </si>
  <si>
    <t>78,86</t>
  </si>
  <si>
    <t>1,09</t>
  </si>
  <si>
    <t>511,14</t>
  </si>
  <si>
    <t>1,57</t>
  </si>
  <si>
    <t>82,14</t>
  </si>
  <si>
    <t>139,20</t>
  </si>
  <si>
    <t>518,48</t>
  </si>
  <si>
    <t>29,64</t>
  </si>
  <si>
    <t>280,72</t>
  </si>
  <si>
    <t>299,76</t>
  </si>
  <si>
    <t>116,06</t>
  </si>
  <si>
    <t>3,584,64</t>
  </si>
  <si>
    <t>801,14</t>
  </si>
  <si>
    <t>74,26</t>
  </si>
  <si>
    <t>382,70</t>
  </si>
  <si>
    <t>3,099,68</t>
  </si>
  <si>
    <t>2,67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</si>
</sst>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9">
    <numFmt numFmtId="164" formatCode="0.000"/>
    <numFmt numFmtId="165" formatCode="0.000_ ;[Red]\-0.000\ "/>
    <numFmt numFmtId="166" formatCode="0.00;[Red]0.00"/>
    <numFmt numFmtId="167" formatCode="0.000;[Red]0.000"/>
    <numFmt numFmtId="168" formatCode="0.0"/>
    <numFmt numFmtId="169" formatCode="0.00_ ;[Red]\-0.00\ "/>
    <numFmt numFmtId="170" formatCode="0.0_ ;[Red]\-0.0\ "/>
    <numFmt numFmtId="171" formatCode="0_ ;[Red]\-0\ "/>
    <numFmt numFmtId="172" formatCode="0;[Red]0"/>
  </numFmts>
  <fonts count="60" x14ac:knownFonts="1">
    <font>
      <sz val="10"/>
      <name val="Arial Cyr"/>
      <charset val="204"/>
    </font>
    <font>
      <sz val="10"/>
      <name val="Arial Cyr"/>
      <charset val="204"/>
    </font>
    <font>
      <sz val="8"/>
      <name val="Arial Cyr"/>
      <charset val="204"/>
    </font>
    <font>
      <sz val="11"/>
      <name val="Calibri"/>
      <family val="2"/>
      <charset val="204"/>
    </font>
    <font>
      <b/>
      <sz val="11"/>
      <name val="Calibri"/>
      <family val="2"/>
      <charset val="204"/>
    </font>
    <font>
      <b/>
      <sz val="11"/>
      <color indexed="20"/>
      <name val="Calibri"/>
      <family val="2"/>
      <charset val="204"/>
    </font>
    <font>
      <b/>
      <sz val="11"/>
      <color indexed="12"/>
      <name val="Arial"/>
      <family val="2"/>
      <charset val="204"/>
    </font>
    <font>
      <b/>
      <sz val="11"/>
      <name val="Arial"/>
      <family val="2"/>
      <charset val="204"/>
    </font>
    <font>
      <b/>
      <sz val="11"/>
      <color indexed="20"/>
      <name val="Arial"/>
      <family val="2"/>
      <charset val="204"/>
    </font>
    <font>
      <b/>
      <sz val="10"/>
      <color indexed="12"/>
      <name val="Arial"/>
      <family val="2"/>
      <charset val="204"/>
    </font>
    <font>
      <sz val="10"/>
      <name val="Arial"/>
      <family val="2"/>
      <charset val="204"/>
    </font>
    <font>
      <b/>
      <sz val="10"/>
      <color indexed="20"/>
      <name val="Arial"/>
      <family val="2"/>
      <charset val="204"/>
    </font>
    <font>
      <sz val="10"/>
      <color indexed="20"/>
      <name val="Arial"/>
      <family val="2"/>
      <charset val="204"/>
    </font>
    <font>
      <b/>
      <sz val="10"/>
      <name val="Arial"/>
      <family val="2"/>
      <charset val="204"/>
    </font>
    <font>
      <b/>
      <sz val="10"/>
      <color indexed="60"/>
      <name val="Arial"/>
      <family val="2"/>
      <charset val="204"/>
    </font>
    <font>
      <sz val="10"/>
      <name val="Calibri"/>
      <family val="2"/>
      <charset val="204"/>
    </font>
    <font>
      <sz val="8"/>
      <color indexed="81"/>
      <name val="Tahoma"/>
      <family val="2"/>
      <charset val="204"/>
    </font>
    <font>
      <b/>
      <sz val="10"/>
      <name val="Arial Cyr"/>
      <charset val="204"/>
    </font>
    <font>
      <b/>
      <sz val="10"/>
      <color indexed="12"/>
      <name val="Arial Cyr"/>
      <charset val="204"/>
    </font>
    <font>
      <sz val="10"/>
      <color indexed="20"/>
      <name val="Arial Cyr"/>
      <charset val="204"/>
    </font>
    <font>
      <b/>
      <sz val="10"/>
      <color indexed="20"/>
      <name val="Arial Cyr"/>
      <charset val="204"/>
    </font>
    <font>
      <b/>
      <sz val="10"/>
      <color indexed="21"/>
      <name val="Arial Cyr"/>
      <charset val="204"/>
    </font>
    <font>
      <sz val="10"/>
      <color indexed="21"/>
      <name val="Arial Cyr"/>
      <charset val="204"/>
    </font>
    <font>
      <b/>
      <sz val="10"/>
      <color indexed="21"/>
      <name val="Arial"/>
      <family val="2"/>
      <charset val="204"/>
    </font>
    <font>
      <b/>
      <sz val="11"/>
      <color indexed="21"/>
      <name val="Calibri"/>
      <family val="2"/>
      <charset val="204"/>
    </font>
    <font>
      <sz val="10"/>
      <color indexed="21"/>
      <name val="Arial"/>
      <family val="2"/>
      <charset val="204"/>
    </font>
    <font>
      <b/>
      <sz val="11"/>
      <name val="Arial Cyr"/>
      <charset val="204"/>
    </font>
    <font>
      <b/>
      <sz val="11"/>
      <color indexed="21"/>
      <name val="Arial"/>
      <family val="2"/>
      <charset val="204"/>
    </font>
    <font>
      <sz val="11"/>
      <name val="Arial"/>
      <family val="2"/>
      <charset val="204"/>
    </font>
    <font>
      <b/>
      <sz val="11"/>
      <color indexed="20"/>
      <name val="Arial Cyr"/>
      <charset val="204"/>
    </font>
    <font>
      <b/>
      <sz val="11"/>
      <color indexed="12"/>
      <name val="Arial Cyr"/>
      <charset val="204"/>
    </font>
    <font>
      <sz val="11"/>
      <color indexed="12"/>
      <name val="Arial Cyr"/>
      <charset val="204"/>
    </font>
    <font>
      <sz val="11"/>
      <name val="Arial Cyr"/>
      <charset val="204"/>
    </font>
    <font>
      <sz val="9"/>
      <name val="Arial Cyr"/>
      <charset val="204"/>
    </font>
    <font>
      <b/>
      <sz val="8"/>
      <color indexed="20"/>
      <name val="Tahoma"/>
      <family val="2"/>
      <charset val="204"/>
    </font>
    <font>
      <b/>
      <sz val="8"/>
      <color indexed="12"/>
      <name val="Tahoma"/>
      <family val="2"/>
      <charset val="204"/>
    </font>
    <font>
      <b/>
      <sz val="12"/>
      <name val="Arial Cyr"/>
      <charset val="204"/>
    </font>
    <font>
      <b/>
      <sz val="12"/>
      <color indexed="12"/>
      <name val="Arial Cyr"/>
      <charset val="204"/>
    </font>
    <font>
      <b/>
      <sz val="11"/>
      <color indexed="17"/>
      <name val="Arial Cyr"/>
      <charset val="204"/>
    </font>
    <font>
      <b/>
      <sz val="8"/>
      <color indexed="81"/>
      <name val="Tahoma"/>
      <family val="2"/>
      <charset val="204"/>
    </font>
    <font>
      <b/>
      <sz val="12"/>
      <color indexed="12"/>
      <name val="Arial"/>
      <family val="2"/>
      <charset val="204"/>
    </font>
    <font>
      <sz val="12"/>
      <name val="Arial Cyr"/>
      <charset val="204"/>
    </font>
    <font>
      <b/>
      <sz val="20"/>
      <color indexed="48"/>
      <name val="Arial Cyr"/>
      <charset val="204"/>
    </font>
    <font>
      <b/>
      <sz val="10"/>
      <color indexed="48"/>
      <name val="Arial Cyr"/>
      <charset val="204"/>
    </font>
    <font>
      <b/>
      <sz val="11"/>
      <color indexed="12"/>
      <name val="Calibri"/>
      <family val="2"/>
      <charset val="204"/>
    </font>
    <font>
      <sz val="10"/>
      <color indexed="12"/>
      <name val="Arial"/>
      <family val="2"/>
      <charset val="204"/>
    </font>
    <font>
      <sz val="10"/>
      <color indexed="12"/>
      <name val="Arial Cyr"/>
      <charset val="204"/>
    </font>
    <font>
      <b/>
      <sz val="10"/>
      <color indexed="10"/>
      <name val="Arial"/>
      <family val="2"/>
      <charset val="204"/>
    </font>
    <font>
      <b/>
      <sz val="11"/>
      <color indexed="10"/>
      <name val="Calibri"/>
      <family val="2"/>
      <charset val="204"/>
    </font>
    <font>
      <b/>
      <sz val="10"/>
      <color indexed="20"/>
      <name val="Arial Narrow"/>
      <family val="2"/>
      <charset val="204"/>
    </font>
    <font>
      <b/>
      <sz val="10"/>
      <color indexed="21"/>
      <name val="Arial Narrow"/>
      <family val="2"/>
      <charset val="204"/>
    </font>
    <font>
      <b/>
      <sz val="10"/>
      <color indexed="10"/>
      <name val="Arial Cyr"/>
      <charset val="204"/>
    </font>
    <font>
      <b/>
      <sz val="10"/>
      <color indexed="60"/>
      <name val="Arial Cyr"/>
      <charset val="204"/>
    </font>
    <font>
      <u/>
      <sz val="10"/>
      <color theme="10"/>
      <name val="Arial Cyr"/>
      <charset val="204"/>
    </font>
    <font>
      <sz val="12"/>
      <color indexed="12"/>
      <name val="Arial"/>
      <family val="2"/>
      <charset val="204"/>
    </font>
    <font>
      <b/>
      <u/>
      <sz val="11"/>
      <color rgb="FF000000"/>
      <name val="Calibri"/>
      <family val="2"/>
      <charset val="204"/>
    </font>
    <font>
      <b/>
      <sz val="36"/>
      <color indexed="48"/>
      <name val="Arial Cyr"/>
      <charset val="204"/>
    </font>
    <font>
      <b/>
      <sz val="36"/>
      <color rgb="FFFF6633"/>
      <name val="Arial Cyr"/>
      <charset val="204"/>
    </font>
    <font>
      <sz val="9"/>
      <color indexed="81"/>
      <name val="Tahoma"/>
      <family val="2"/>
      <charset val="204"/>
    </font>
    <font>
      <sz val="10"/>
      <color indexed="81"/>
      <name val="Tahoma"/>
      <family val="2"/>
      <charset val="204"/>
    </font>
  </fonts>
  <fills count="8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C0C0C0"/>
        <bgColor indexed="64"/>
      </patternFill>
    </fill>
    <fill>
      <patternFill patternType="solid">
        <fgColor theme="9" tint="0.39997558519241921"/>
        <bgColor indexed="64"/>
      </patternFill>
    </fill>
  </fills>
  <borders count="39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ck">
        <color rgb="FF00B0F0"/>
      </right>
      <top/>
      <bottom/>
      <diagonal/>
    </border>
    <border>
      <left style="thick">
        <color rgb="FF00B0F0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ck">
        <color rgb="FF00B0F0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3">
    <xf numFmtId="0" fontId="0" fillId="0" borderId="0"/>
    <xf numFmtId="0" fontId="53" fillId="0" borderId="0" applyNumberFormat="0" applyFill="0" applyBorder="0" applyAlignment="0" applyProtection="0"/>
    <xf numFmtId="9" fontId="1" fillId="0" borderId="0" applyFont="0" applyFill="0" applyBorder="0" applyAlignment="0" applyProtection="0"/>
  </cellStyleXfs>
  <cellXfs count="259">
    <xf numFmtId="0" fontId="0" fillId="0" borderId="0" xfId="0"/>
    <xf numFmtId="2" fontId="10" fillId="0" borderId="0" xfId="0" applyNumberFormat="1" applyFont="1" applyProtection="1">
      <protection locked="0"/>
    </xf>
    <xf numFmtId="2" fontId="3" fillId="2" borderId="4" xfId="0" applyNumberFormat="1" applyFont="1" applyFill="1" applyBorder="1" applyAlignment="1" applyProtection="1">
      <alignment horizontal="center"/>
    </xf>
    <xf numFmtId="0" fontId="4" fillId="0" borderId="0" xfId="0" applyFont="1" applyProtection="1"/>
    <xf numFmtId="0" fontId="5" fillId="0" borderId="0" xfId="0" applyFont="1" applyProtection="1"/>
    <xf numFmtId="0" fontId="9" fillId="0" borderId="0" xfId="0" applyFont="1" applyProtection="1"/>
    <xf numFmtId="0" fontId="13" fillId="0" borderId="0" xfId="0" applyFont="1" applyProtection="1"/>
    <xf numFmtId="0" fontId="11" fillId="0" borderId="0" xfId="0" applyFont="1" applyProtection="1"/>
    <xf numFmtId="172" fontId="3" fillId="2" borderId="4" xfId="0" applyNumberFormat="1" applyFont="1" applyFill="1" applyBorder="1" applyAlignment="1" applyProtection="1">
      <alignment horizontal="center"/>
    </xf>
    <xf numFmtId="0" fontId="9" fillId="0" borderId="0" xfId="0" applyNumberFormat="1" applyFont="1" applyFill="1" applyBorder="1" applyAlignment="1" applyProtection="1">
      <alignment horizontal="center"/>
      <protection locked="0"/>
    </xf>
    <xf numFmtId="0" fontId="6" fillId="0" borderId="0" xfId="0" applyNumberFormat="1" applyFont="1" applyFill="1" applyBorder="1" applyAlignment="1" applyProtection="1">
      <alignment horizontal="center"/>
      <protection locked="0"/>
    </xf>
    <xf numFmtId="172" fontId="3" fillId="3" borderId="4" xfId="0" applyNumberFormat="1" applyFont="1" applyFill="1" applyBorder="1" applyAlignment="1" applyProtection="1">
      <alignment horizontal="center"/>
    </xf>
    <xf numFmtId="2" fontId="3" fillId="3" borderId="4" xfId="0" applyNumberFormat="1" applyFont="1" applyFill="1" applyBorder="1" applyAlignment="1" applyProtection="1">
      <alignment horizontal="center"/>
    </xf>
    <xf numFmtId="0" fontId="0" fillId="0" borderId="0" xfId="0" applyProtection="1"/>
    <xf numFmtId="0" fontId="0" fillId="0" borderId="0" xfId="0" applyAlignment="1">
      <alignment vertical="center"/>
    </xf>
    <xf numFmtId="0" fontId="19" fillId="0" borderId="0" xfId="0" applyFont="1" applyProtection="1"/>
    <xf numFmtId="2" fontId="11" fillId="0" borderId="0" xfId="0" applyNumberFormat="1" applyFont="1" applyProtection="1">
      <protection locked="0"/>
    </xf>
    <xf numFmtId="0" fontId="22" fillId="0" borderId="0" xfId="0" applyFont="1" applyProtection="1"/>
    <xf numFmtId="0" fontId="23" fillId="0" borderId="0" xfId="0" applyFont="1" applyProtection="1"/>
    <xf numFmtId="0" fontId="24" fillId="0" borderId="0" xfId="0" applyFont="1" applyProtection="1"/>
    <xf numFmtId="2" fontId="28" fillId="0" borderId="0" xfId="0" applyNumberFormat="1" applyFont="1" applyProtection="1">
      <protection locked="0"/>
    </xf>
    <xf numFmtId="2" fontId="8" fillId="0" borderId="0" xfId="0" applyNumberFormat="1" applyFont="1" applyProtection="1">
      <protection locked="0"/>
    </xf>
    <xf numFmtId="0" fontId="37" fillId="0" borderId="0" xfId="0" applyFont="1"/>
    <xf numFmtId="49" fontId="29" fillId="0" borderId="0" xfId="0" applyNumberFormat="1" applyFont="1" applyAlignment="1">
      <alignment horizontal="center"/>
    </xf>
    <xf numFmtId="0" fontId="1" fillId="0" borderId="0" xfId="0" applyFont="1"/>
    <xf numFmtId="0" fontId="38" fillId="0" borderId="0" xfId="0" applyFont="1" applyAlignment="1">
      <alignment horizontal="center"/>
    </xf>
    <xf numFmtId="169" fontId="32" fillId="0" borderId="4" xfId="0" applyNumberFormat="1" applyFont="1" applyBorder="1" applyAlignment="1">
      <alignment horizontal="right" vertical="center"/>
    </xf>
    <xf numFmtId="0" fontId="43" fillId="0" borderId="0" xfId="0" applyFont="1" applyAlignment="1">
      <alignment horizontal="left"/>
    </xf>
    <xf numFmtId="0" fontId="44" fillId="0" borderId="0" xfId="0" applyFont="1" applyProtection="1"/>
    <xf numFmtId="171" fontId="27" fillId="0" borderId="0" xfId="0" applyNumberFormat="1" applyFont="1" applyFill="1" applyAlignment="1" applyProtection="1">
      <alignment horizontal="center"/>
      <protection locked="0"/>
    </xf>
    <xf numFmtId="165" fontId="23" fillId="0" borderId="0" xfId="0" applyNumberFormat="1" applyFont="1" applyFill="1" applyAlignment="1" applyProtection="1">
      <alignment horizontal="center"/>
      <protection locked="0"/>
    </xf>
    <xf numFmtId="0" fontId="46" fillId="0" borderId="0" xfId="0" applyFont="1" applyProtection="1"/>
    <xf numFmtId="171" fontId="6" fillId="0" borderId="0" xfId="0" applyNumberFormat="1" applyFont="1" applyFill="1" applyAlignment="1" applyProtection="1">
      <alignment horizontal="center"/>
      <protection locked="0"/>
    </xf>
    <xf numFmtId="0" fontId="48" fillId="0" borderId="0" xfId="0" applyFont="1" applyAlignment="1" applyProtection="1">
      <alignment horizontal="center"/>
    </xf>
    <xf numFmtId="0" fontId="47" fillId="0" borderId="0" xfId="0" applyFont="1" applyAlignment="1" applyProtection="1">
      <alignment horizontal="left"/>
    </xf>
    <xf numFmtId="0" fontId="49" fillId="0" borderId="0" xfId="0" applyFont="1" applyProtection="1"/>
    <xf numFmtId="0" fontId="50" fillId="0" borderId="0" xfId="0" applyFont="1" applyProtection="1"/>
    <xf numFmtId="0" fontId="51" fillId="0" borderId="0" xfId="0" applyFont="1"/>
    <xf numFmtId="0" fontId="14" fillId="0" borderId="0" xfId="0" applyFont="1"/>
    <xf numFmtId="0" fontId="42" fillId="0" borderId="0" xfId="0" applyFont="1" applyAlignment="1"/>
    <xf numFmtId="0" fontId="0" fillId="5" borderId="0" xfId="0" applyFill="1"/>
    <xf numFmtId="171" fontId="25" fillId="5" borderId="0" xfId="0" applyNumberFormat="1" applyFont="1" applyFill="1" applyProtection="1"/>
    <xf numFmtId="171" fontId="45" fillId="5" borderId="0" xfId="0" applyNumberFormat="1" applyFont="1" applyFill="1" applyProtection="1"/>
    <xf numFmtId="0" fontId="0" fillId="5" borderId="0" xfId="0" applyFill="1" applyProtection="1"/>
    <xf numFmtId="172" fontId="3" fillId="6" borderId="4" xfId="0" applyNumberFormat="1" applyFont="1" applyFill="1" applyBorder="1" applyAlignment="1" applyProtection="1">
      <alignment horizontal="center"/>
    </xf>
    <xf numFmtId="2" fontId="3" fillId="6" borderId="4" xfId="0" applyNumberFormat="1" applyFont="1" applyFill="1" applyBorder="1" applyAlignment="1" applyProtection="1">
      <alignment horizontal="center"/>
    </xf>
    <xf numFmtId="172" fontId="3" fillId="6" borderId="9" xfId="0" applyNumberFormat="1" applyFont="1" applyFill="1" applyBorder="1" applyAlignment="1" applyProtection="1">
      <alignment horizontal="center"/>
    </xf>
    <xf numFmtId="2" fontId="3" fillId="6" borderId="9" xfId="0" applyNumberFormat="1" applyFont="1" applyFill="1" applyBorder="1" applyAlignment="1" applyProtection="1">
      <alignment horizontal="center"/>
    </xf>
    <xf numFmtId="0" fontId="0" fillId="0" borderId="0" xfId="0" applyNumberFormat="1"/>
    <xf numFmtId="169" fontId="32" fillId="0" borderId="8" xfId="0" applyNumberFormat="1" applyFont="1" applyFill="1" applyBorder="1" applyAlignment="1">
      <alignment horizontal="right" vertical="center"/>
    </xf>
    <xf numFmtId="169" fontId="32" fillId="0" borderId="4" xfId="0" applyNumberFormat="1" applyFont="1" applyFill="1" applyBorder="1" applyAlignment="1">
      <alignment horizontal="right" vertical="center"/>
    </xf>
    <xf numFmtId="0" fontId="32" fillId="0" borderId="10" xfId="0" applyFont="1" applyFill="1" applyBorder="1" applyAlignment="1">
      <alignment horizontal="left" vertical="center" indent="1"/>
    </xf>
    <xf numFmtId="169" fontId="32" fillId="0" borderId="14" xfId="0" applyNumberFormat="1" applyFont="1" applyFill="1" applyBorder="1" applyAlignment="1">
      <alignment horizontal="right" vertical="center"/>
    </xf>
    <xf numFmtId="0" fontId="32" fillId="0" borderId="1" xfId="0" applyFont="1" applyFill="1" applyBorder="1" applyAlignment="1">
      <alignment horizontal="left" vertical="center" indent="1"/>
    </xf>
    <xf numFmtId="0" fontId="32" fillId="0" borderId="1" xfId="0" applyFont="1" applyBorder="1" applyAlignment="1">
      <alignment horizontal="left" vertical="center" indent="1"/>
    </xf>
    <xf numFmtId="14" fontId="37" fillId="0" borderId="0" xfId="0" applyNumberFormat="1" applyFont="1"/>
    <xf numFmtId="0" fontId="32" fillId="0" borderId="16" xfId="0" applyFont="1" applyFill="1" applyBorder="1" applyAlignment="1">
      <alignment horizontal="center" vertical="center"/>
    </xf>
    <xf numFmtId="0" fontId="32" fillId="0" borderId="3" xfId="0" applyFont="1" applyFill="1" applyBorder="1" applyAlignment="1">
      <alignment horizontal="center" vertical="center"/>
    </xf>
    <xf numFmtId="0" fontId="0" fillId="0" borderId="15" xfId="0" applyBorder="1"/>
    <xf numFmtId="0" fontId="0" fillId="0" borderId="11" xfId="0" applyBorder="1"/>
    <xf numFmtId="0" fontId="0" fillId="0" borderId="17" xfId="0" applyBorder="1" applyAlignment="1">
      <alignment horizontal="center" vertical="center" wrapText="1"/>
    </xf>
    <xf numFmtId="0" fontId="26" fillId="0" borderId="18" xfId="0" applyFont="1" applyBorder="1" applyAlignment="1">
      <alignment horizontal="center" vertical="center" wrapText="1"/>
    </xf>
    <xf numFmtId="0" fontId="36" fillId="0" borderId="19" xfId="0" applyFont="1" applyBorder="1" applyAlignment="1">
      <alignment horizontal="center" vertical="center" wrapText="1"/>
    </xf>
    <xf numFmtId="0" fontId="36" fillId="0" borderId="20" xfId="0" applyFont="1" applyBorder="1" applyAlignment="1">
      <alignment horizontal="center" vertical="center" wrapText="1"/>
    </xf>
    <xf numFmtId="0" fontId="36" fillId="0" borderId="21" xfId="0" applyFont="1" applyBorder="1" applyAlignment="1">
      <alignment horizontal="center" vertical="center" wrapText="1"/>
    </xf>
    <xf numFmtId="0" fontId="32" fillId="0" borderId="22" xfId="0" applyFont="1" applyFill="1" applyBorder="1" applyAlignment="1">
      <alignment horizontal="center" vertical="center"/>
    </xf>
    <xf numFmtId="0" fontId="32" fillId="0" borderId="23" xfId="0" applyFont="1" applyBorder="1" applyAlignment="1">
      <alignment horizontal="left" vertical="center" indent="1"/>
    </xf>
    <xf numFmtId="169" fontId="32" fillId="0" borderId="24" xfId="0" applyNumberFormat="1" applyFont="1" applyBorder="1" applyAlignment="1">
      <alignment horizontal="right" vertical="center"/>
    </xf>
    <xf numFmtId="0" fontId="0" fillId="0" borderId="25" xfId="0" applyBorder="1"/>
    <xf numFmtId="0" fontId="0" fillId="0" borderId="0" xfId="0" applyNumberFormat="1" applyAlignment="1">
      <alignment horizontal="right"/>
    </xf>
    <xf numFmtId="0" fontId="0" fillId="0" borderId="0" xfId="0" applyAlignment="1">
      <alignment horizontal="right"/>
    </xf>
    <xf numFmtId="9" fontId="0" fillId="0" borderId="0" xfId="0" applyNumberFormat="1" applyFill="1" applyBorder="1" applyAlignment="1">
      <alignment horizontal="right" indent="1"/>
    </xf>
    <xf numFmtId="0" fontId="53" fillId="0" borderId="0" xfId="1"/>
    <xf numFmtId="0" fontId="0" fillId="0" borderId="0" xfId="0" applyFill="1" applyBorder="1" applyAlignment="1" applyProtection="1">
      <alignment horizontal="left" vertical="center"/>
    </xf>
    <xf numFmtId="0" fontId="17" fillId="0" borderId="0" xfId="0" applyFont="1"/>
    <xf numFmtId="0" fontId="0" fillId="0" borderId="0" xfId="0" applyBorder="1"/>
    <xf numFmtId="0" fontId="0" fillId="0" borderId="0" xfId="0" applyFill="1" applyBorder="1" applyAlignment="1" applyProtection="1">
      <alignment horizontal="right" vertical="center"/>
    </xf>
    <xf numFmtId="0" fontId="17" fillId="0" borderId="0" xfId="0" applyFont="1" applyFill="1" applyBorder="1" applyAlignment="1" applyProtection="1">
      <alignment horizontal="left" vertical="center"/>
    </xf>
    <xf numFmtId="0" fontId="0" fillId="0" borderId="0" xfId="0" applyBorder="1" applyAlignment="1" applyProtection="1">
      <alignment horizontal="right" vertical="center"/>
    </xf>
    <xf numFmtId="0" fontId="0" fillId="0" borderId="0" xfId="0" applyBorder="1" applyAlignment="1">
      <alignment horizontal="right" vertical="center"/>
    </xf>
    <xf numFmtId="0" fontId="17" fillId="0" borderId="0" xfId="0" applyFont="1" applyBorder="1" applyAlignment="1">
      <alignment horizontal="left" vertical="center"/>
    </xf>
    <xf numFmtId="0" fontId="17" fillId="0" borderId="0" xfId="0" applyFont="1" applyBorder="1" applyAlignment="1" applyProtection="1">
      <alignment horizontal="right" vertical="center"/>
    </xf>
    <xf numFmtId="0" fontId="17" fillId="0" borderId="0" xfId="0" applyFont="1" applyBorder="1" applyAlignment="1">
      <alignment horizontal="right" vertical="center"/>
    </xf>
    <xf numFmtId="1" fontId="17" fillId="0" borderId="0" xfId="0" applyNumberFormat="1" applyFont="1" applyBorder="1" applyAlignment="1">
      <alignment horizontal="right" vertical="center"/>
    </xf>
    <xf numFmtId="2" fontId="17" fillId="0" borderId="0" xfId="0" applyNumberFormat="1" applyFont="1" applyBorder="1" applyAlignment="1">
      <alignment horizontal="right" vertical="center"/>
    </xf>
    <xf numFmtId="0" fontId="0" fillId="0" borderId="26" xfId="0" applyBorder="1"/>
    <xf numFmtId="0" fontId="0" fillId="0" borderId="0" xfId="0" applyBorder="1" applyAlignment="1" applyProtection="1">
      <alignment vertical="center"/>
    </xf>
    <xf numFmtId="0" fontId="18" fillId="0" borderId="0" xfId="0" applyFont="1" applyBorder="1" applyAlignment="1" applyProtection="1">
      <alignment vertical="center"/>
    </xf>
    <xf numFmtId="0" fontId="53" fillId="0" borderId="0" xfId="1" applyBorder="1" applyAlignment="1" applyProtection="1">
      <alignment vertical="center"/>
    </xf>
    <xf numFmtId="0" fontId="20" fillId="0" borderId="0" xfId="0" applyFont="1" applyBorder="1" applyAlignment="1" applyProtection="1">
      <alignment vertical="center"/>
    </xf>
    <xf numFmtId="0" fontId="19" fillId="0" borderId="0" xfId="0" applyFont="1" applyBorder="1" applyAlignment="1" applyProtection="1">
      <alignment vertical="center"/>
    </xf>
    <xf numFmtId="0" fontId="21" fillId="0" borderId="0" xfId="0" applyFont="1" applyBorder="1" applyAlignment="1" applyProtection="1">
      <alignment vertical="center"/>
    </xf>
    <xf numFmtId="0" fontId="22" fillId="0" borderId="0" xfId="0" applyFont="1" applyBorder="1" applyAlignment="1" applyProtection="1">
      <alignment vertical="center"/>
    </xf>
    <xf numFmtId="0" fontId="0" fillId="0" borderId="27" xfId="0" applyBorder="1"/>
    <xf numFmtId="0" fontId="0" fillId="5" borderId="0" xfId="0" applyFill="1" applyBorder="1"/>
    <xf numFmtId="0" fontId="55" fillId="0" borderId="0" xfId="0" applyFont="1" applyAlignment="1">
      <alignment horizontal="left" vertical="center"/>
    </xf>
    <xf numFmtId="0" fontId="56" fillId="0" borderId="0" xfId="0" applyFont="1" applyAlignment="1">
      <alignment vertical="center"/>
    </xf>
    <xf numFmtId="0" fontId="56" fillId="0" borderId="7" xfId="0" applyFont="1" applyBorder="1" applyAlignment="1">
      <alignment horizontal="center" vertical="center"/>
    </xf>
    <xf numFmtId="168" fontId="17" fillId="0" borderId="0" xfId="0" applyNumberFormat="1" applyFont="1" applyBorder="1" applyAlignment="1">
      <alignment horizontal="right" vertical="center"/>
    </xf>
    <xf numFmtId="0" fontId="0" fillId="0" borderId="0" xfId="0" applyProtection="1">
      <protection locked="0"/>
    </xf>
    <xf numFmtId="0" fontId="0" fillId="5" borderId="0" xfId="0" applyFill="1" applyProtection="1">
      <protection locked="0"/>
    </xf>
    <xf numFmtId="1" fontId="10" fillId="5" borderId="0" xfId="0" applyNumberFormat="1" applyFont="1" applyFill="1" applyBorder="1" applyProtection="1">
      <protection locked="0"/>
    </xf>
    <xf numFmtId="0" fontId="10" fillId="5" borderId="0" xfId="0" applyFont="1" applyFill="1" applyBorder="1" applyProtection="1">
      <protection locked="0"/>
    </xf>
    <xf numFmtId="0" fontId="10" fillId="5" borderId="0" xfId="0" applyFont="1" applyFill="1" applyProtection="1">
      <protection locked="0"/>
    </xf>
    <xf numFmtId="0" fontId="12" fillId="5" borderId="0" xfId="0" applyFont="1" applyFill="1" applyProtection="1">
      <protection locked="0"/>
    </xf>
    <xf numFmtId="171" fontId="12" fillId="5" borderId="0" xfId="0" applyNumberFormat="1" applyFont="1" applyFill="1" applyProtection="1">
      <protection locked="0"/>
    </xf>
    <xf numFmtId="0" fontId="25" fillId="5" borderId="0" xfId="0" applyFont="1" applyFill="1" applyProtection="1">
      <protection locked="0"/>
    </xf>
    <xf numFmtId="171" fontId="25" fillId="5" borderId="0" xfId="0" applyNumberFormat="1" applyFont="1" applyFill="1" applyProtection="1">
      <protection locked="0"/>
    </xf>
    <xf numFmtId="171" fontId="45" fillId="5" borderId="0" xfId="0" applyNumberFormat="1" applyFont="1" applyFill="1" applyProtection="1">
      <protection locked="0"/>
    </xf>
    <xf numFmtId="0" fontId="19" fillId="5" borderId="0" xfId="0" applyFont="1" applyFill="1" applyProtection="1">
      <protection locked="0"/>
    </xf>
    <xf numFmtId="0" fontId="22" fillId="5" borderId="0" xfId="0" applyFont="1" applyFill="1" applyProtection="1">
      <protection locked="0"/>
    </xf>
    <xf numFmtId="0" fontId="46" fillId="5" borderId="0" xfId="0" applyFont="1" applyFill="1" applyProtection="1">
      <protection locked="0"/>
    </xf>
    <xf numFmtId="0" fontId="0" fillId="5" borderId="0" xfId="0" applyFill="1" applyBorder="1" applyProtection="1">
      <protection locked="0"/>
    </xf>
    <xf numFmtId="1" fontId="17" fillId="0" borderId="7" xfId="2" applyNumberFormat="1" applyFont="1" applyBorder="1"/>
    <xf numFmtId="0" fontId="0" fillId="0" borderId="29" xfId="0" applyBorder="1" applyAlignment="1">
      <alignment horizontal="right" vertical="center"/>
    </xf>
    <xf numFmtId="0" fontId="7" fillId="7" borderId="10" xfId="0" applyFont="1" applyFill="1" applyBorder="1" applyAlignment="1" applyProtection="1">
      <alignment horizontal="center" vertical="center" wrapText="1"/>
    </xf>
    <xf numFmtId="0" fontId="10" fillId="7" borderId="14" xfId="0" applyFont="1" applyFill="1" applyBorder="1" applyAlignment="1" applyProtection="1">
      <alignment horizontal="center" vertical="center" wrapText="1"/>
    </xf>
    <xf numFmtId="0" fontId="7" fillId="7" borderId="14" xfId="0" applyFont="1" applyFill="1" applyBorder="1" applyAlignment="1" applyProtection="1">
      <alignment horizontal="center" vertical="center" wrapText="1"/>
    </xf>
    <xf numFmtId="0" fontId="13" fillId="7" borderId="14" xfId="0" applyFont="1" applyFill="1" applyBorder="1" applyAlignment="1" applyProtection="1">
      <alignment horizontal="center" vertical="center" wrapText="1"/>
    </xf>
    <xf numFmtId="0" fontId="13" fillId="7" borderId="14" xfId="0" applyFont="1" applyFill="1" applyBorder="1" applyAlignment="1" applyProtection="1">
      <alignment horizontal="center" vertical="center"/>
    </xf>
    <xf numFmtId="0" fontId="17" fillId="7" borderId="14" xfId="0" applyFont="1" applyFill="1" applyBorder="1" applyAlignment="1">
      <alignment horizontal="center" vertical="center" wrapText="1"/>
    </xf>
    <xf numFmtId="0" fontId="18" fillId="7" borderId="14" xfId="0" applyFont="1" applyFill="1" applyBorder="1" applyAlignment="1">
      <alignment horizontal="center" vertical="center" wrapText="1"/>
    </xf>
    <xf numFmtId="49" fontId="18" fillId="7" borderId="14" xfId="0" applyNumberFormat="1" applyFont="1" applyFill="1" applyBorder="1" applyAlignment="1">
      <alignment horizontal="center" vertical="center" wrapText="1"/>
    </xf>
    <xf numFmtId="0" fontId="17" fillId="7" borderId="30" xfId="0" applyFont="1" applyFill="1" applyBorder="1" applyAlignment="1">
      <alignment horizontal="center" vertical="center" wrapText="1"/>
    </xf>
    <xf numFmtId="0" fontId="3" fillId="2" borderId="1" xfId="0" applyFont="1" applyFill="1" applyBorder="1" applyProtection="1"/>
    <xf numFmtId="166" fontId="3" fillId="0" borderId="4" xfId="0" applyNumberFormat="1" applyFont="1" applyFill="1" applyBorder="1" applyAlignment="1" applyProtection="1">
      <alignment horizontal="center" vertical="center"/>
    </xf>
    <xf numFmtId="0" fontId="3" fillId="0" borderId="4" xfId="0" applyFont="1" applyBorder="1" applyProtection="1"/>
    <xf numFmtId="0" fontId="0" fillId="0" borderId="4" xfId="0" applyBorder="1" applyProtection="1"/>
    <xf numFmtId="0" fontId="26" fillId="0" borderId="4" xfId="0" applyFont="1" applyFill="1" applyBorder="1" applyAlignment="1" applyProtection="1">
      <alignment horizontal="center"/>
    </xf>
    <xf numFmtId="0" fontId="0" fillId="0" borderId="4" xfId="0" applyFill="1" applyBorder="1" applyAlignment="1" applyProtection="1">
      <alignment horizontal="center"/>
    </xf>
    <xf numFmtId="0" fontId="0" fillId="0" borderId="4" xfId="0" applyBorder="1" applyAlignment="1" applyProtection="1">
      <alignment horizontal="center"/>
    </xf>
    <xf numFmtId="0" fontId="0" fillId="0" borderId="4" xfId="0" applyBorder="1"/>
    <xf numFmtId="0" fontId="0" fillId="2" borderId="2" xfId="0" applyFill="1" applyBorder="1"/>
    <xf numFmtId="1" fontId="13" fillId="2" borderId="1" xfId="0" applyNumberFormat="1" applyFont="1" applyFill="1" applyBorder="1" applyAlignment="1" applyProtection="1">
      <alignment horizontal="center"/>
    </xf>
    <xf numFmtId="171" fontId="15" fillId="0" borderId="4" xfId="0" applyNumberFormat="1" applyFont="1" applyFill="1" applyBorder="1" applyAlignment="1" applyProtection="1">
      <alignment horizontal="center" vertical="center"/>
    </xf>
    <xf numFmtId="172" fontId="3" fillId="0" borderId="4" xfId="0" applyNumberFormat="1" applyFont="1" applyFill="1" applyBorder="1" applyAlignment="1" applyProtection="1">
      <alignment horizontal="center"/>
    </xf>
    <xf numFmtId="172" fontId="3" fillId="0" borderId="4" xfId="0" applyNumberFormat="1" applyFont="1" applyBorder="1" applyAlignment="1" applyProtection="1">
      <alignment horizontal="center"/>
    </xf>
    <xf numFmtId="167" fontId="3" fillId="0" borderId="4" xfId="0" applyNumberFormat="1" applyFont="1" applyFill="1" applyBorder="1" applyAlignment="1" applyProtection="1">
      <alignment horizontal="center" vertical="center"/>
    </xf>
    <xf numFmtId="2" fontId="3" fillId="0" borderId="4" xfId="0" applyNumberFormat="1" applyFont="1" applyBorder="1" applyAlignment="1" applyProtection="1">
      <alignment horizontal="center"/>
    </xf>
    <xf numFmtId="168" fontId="0" fillId="0" borderId="4" xfId="0" applyNumberFormat="1" applyBorder="1" applyProtection="1"/>
    <xf numFmtId="168" fontId="32" fillId="4" borderId="4" xfId="0" applyNumberFormat="1" applyFont="1" applyFill="1" applyBorder="1" applyProtection="1"/>
    <xf numFmtId="9" fontId="1" fillId="3" borderId="4" xfId="0" applyNumberFormat="1" applyFont="1" applyFill="1" applyBorder="1" applyAlignment="1" applyProtection="1">
      <alignment horizontal="right"/>
    </xf>
    <xf numFmtId="9" fontId="0" fillId="0" borderId="4" xfId="0" applyNumberFormat="1" applyBorder="1" applyProtection="1"/>
    <xf numFmtId="172" fontId="0" fillId="3" borderId="4" xfId="0" applyNumberFormat="1" applyFill="1" applyBorder="1" applyProtection="1"/>
    <xf numFmtId="9" fontId="0" fillId="3" borderId="4" xfId="0" applyNumberFormat="1" applyFill="1" applyBorder="1" applyProtection="1"/>
    <xf numFmtId="169" fontId="0" fillId="0" borderId="4" xfId="0" applyNumberFormat="1" applyBorder="1"/>
    <xf numFmtId="170" fontId="31" fillId="4" borderId="4" xfId="0" applyNumberFormat="1" applyFont="1" applyFill="1" applyBorder="1"/>
    <xf numFmtId="9" fontId="0" fillId="0" borderId="4" xfId="0" applyNumberFormat="1" applyBorder="1" applyAlignment="1">
      <alignment horizontal="right" indent="1"/>
    </xf>
    <xf numFmtId="171" fontId="32" fillId="4" borderId="4" xfId="0" applyNumberFormat="1" applyFont="1" applyFill="1" applyBorder="1"/>
    <xf numFmtId="1" fontId="0" fillId="0" borderId="4" xfId="0" applyNumberFormat="1" applyBorder="1" applyAlignment="1">
      <alignment horizontal="right" indent="1"/>
    </xf>
    <xf numFmtId="1" fontId="13" fillId="2" borderId="2" xfId="0" applyNumberFormat="1" applyFont="1" applyFill="1" applyBorder="1" applyAlignment="1" applyProtection="1">
      <alignment horizontal="center"/>
    </xf>
    <xf numFmtId="171" fontId="15" fillId="2" borderId="4" xfId="0" applyNumberFormat="1" applyFont="1" applyFill="1" applyBorder="1" applyAlignment="1" applyProtection="1">
      <alignment horizontal="center" vertical="center"/>
    </xf>
    <xf numFmtId="167" fontId="3" fillId="2" borderId="4" xfId="0" applyNumberFormat="1" applyFont="1" applyFill="1" applyBorder="1" applyAlignment="1" applyProtection="1">
      <alignment horizontal="center" vertical="center"/>
    </xf>
    <xf numFmtId="168" fontId="0" fillId="2" borderId="4" xfId="0" applyNumberFormat="1" applyFill="1" applyBorder="1" applyProtection="1"/>
    <xf numFmtId="168" fontId="32" fillId="2" borderId="4" xfId="0" applyNumberFormat="1" applyFont="1" applyFill="1" applyBorder="1" applyProtection="1"/>
    <xf numFmtId="9" fontId="1" fillId="2" borderId="4" xfId="0" applyNumberFormat="1" applyFont="1" applyFill="1" applyBorder="1" applyAlignment="1" applyProtection="1">
      <alignment horizontal="right"/>
    </xf>
    <xf numFmtId="0" fontId="0" fillId="2" borderId="4" xfId="0" applyFill="1" applyBorder="1" applyProtection="1"/>
    <xf numFmtId="9" fontId="0" fillId="2" borderId="4" xfId="0" applyNumberFormat="1" applyFill="1" applyBorder="1" applyProtection="1"/>
    <xf numFmtId="172" fontId="0" fillId="2" borderId="4" xfId="0" applyNumberFormat="1" applyFill="1" applyBorder="1" applyProtection="1"/>
    <xf numFmtId="169" fontId="0" fillId="2" borderId="4" xfId="0" applyNumberFormat="1" applyFill="1" applyBorder="1"/>
    <xf numFmtId="170" fontId="31" fillId="2" borderId="4" xfId="0" applyNumberFormat="1" applyFont="1" applyFill="1" applyBorder="1"/>
    <xf numFmtId="9" fontId="0" fillId="2" borderId="4" xfId="0" applyNumberFormat="1" applyFill="1" applyBorder="1" applyAlignment="1">
      <alignment horizontal="right" indent="1"/>
    </xf>
    <xf numFmtId="171" fontId="32" fillId="2" borderId="4" xfId="0" applyNumberFormat="1" applyFont="1" applyFill="1" applyBorder="1"/>
    <xf numFmtId="1" fontId="0" fillId="2" borderId="4" xfId="0" applyNumberFormat="1" applyFill="1" applyBorder="1" applyAlignment="1">
      <alignment horizontal="right" indent="1"/>
    </xf>
    <xf numFmtId="172" fontId="1" fillId="2" borderId="4" xfId="0" applyNumberFormat="1" applyFont="1" applyFill="1" applyBorder="1" applyProtection="1"/>
    <xf numFmtId="9" fontId="1" fillId="2" borderId="4" xfId="0" applyNumberFormat="1" applyFont="1" applyFill="1" applyBorder="1" applyProtection="1"/>
    <xf numFmtId="171" fontId="15" fillId="6" borderId="4" xfId="0" applyNumberFormat="1" applyFont="1" applyFill="1" applyBorder="1" applyAlignment="1" applyProtection="1">
      <alignment horizontal="center" vertical="center"/>
    </xf>
    <xf numFmtId="167" fontId="3" fillId="6" borderId="4" xfId="0" applyNumberFormat="1" applyFont="1" applyFill="1" applyBorder="1" applyAlignment="1" applyProtection="1">
      <alignment horizontal="center" vertical="center"/>
    </xf>
    <xf numFmtId="168" fontId="0" fillId="6" borderId="4" xfId="0" applyNumberFormat="1" applyFill="1" applyBorder="1" applyProtection="1"/>
    <xf numFmtId="168" fontId="32" fillId="6" borderId="4" xfId="0" applyNumberFormat="1" applyFont="1" applyFill="1" applyBorder="1" applyProtection="1"/>
    <xf numFmtId="9" fontId="1" fillId="6" borderId="4" xfId="0" applyNumberFormat="1" applyFont="1" applyFill="1" applyBorder="1" applyAlignment="1" applyProtection="1">
      <alignment horizontal="right"/>
    </xf>
    <xf numFmtId="0" fontId="0" fillId="6" borderId="4" xfId="0" applyFill="1" applyBorder="1" applyProtection="1"/>
    <xf numFmtId="9" fontId="0" fillId="6" borderId="4" xfId="0" applyNumberFormat="1" applyFill="1" applyBorder="1" applyProtection="1"/>
    <xf numFmtId="172" fontId="0" fillId="6" borderId="4" xfId="0" applyNumberFormat="1" applyFill="1" applyBorder="1" applyProtection="1"/>
    <xf numFmtId="169" fontId="0" fillId="6" borderId="4" xfId="0" applyNumberFormat="1" applyFill="1" applyBorder="1"/>
    <xf numFmtId="170" fontId="31" fillId="6" borderId="4" xfId="0" applyNumberFormat="1" applyFont="1" applyFill="1" applyBorder="1"/>
    <xf numFmtId="9" fontId="0" fillId="6" borderId="4" xfId="0" applyNumberFormat="1" applyFill="1" applyBorder="1" applyAlignment="1">
      <alignment horizontal="right" indent="1"/>
    </xf>
    <xf numFmtId="171" fontId="32" fillId="6" borderId="4" xfId="0" applyNumberFormat="1" applyFont="1" applyFill="1" applyBorder="1"/>
    <xf numFmtId="1" fontId="0" fillId="6" borderId="4" xfId="0" applyNumberFormat="1" applyFill="1" applyBorder="1" applyAlignment="1">
      <alignment horizontal="right" indent="1"/>
    </xf>
    <xf numFmtId="168" fontId="0" fillId="0" borderId="4" xfId="0" applyNumberFormat="1" applyFill="1" applyBorder="1" applyProtection="1"/>
    <xf numFmtId="1" fontId="13" fillId="2" borderId="5" xfId="0" applyNumberFormat="1" applyFont="1" applyFill="1" applyBorder="1" applyAlignment="1" applyProtection="1">
      <alignment horizontal="center"/>
    </xf>
    <xf numFmtId="171" fontId="15" fillId="6" borderId="9" xfId="0" applyNumberFormat="1" applyFont="1" applyFill="1" applyBorder="1" applyAlignment="1" applyProtection="1">
      <alignment horizontal="center" vertical="center"/>
    </xf>
    <xf numFmtId="167" fontId="3" fillId="6" borderId="9" xfId="0" applyNumberFormat="1" applyFont="1" applyFill="1" applyBorder="1" applyAlignment="1" applyProtection="1">
      <alignment horizontal="center" vertical="center"/>
    </xf>
    <xf numFmtId="168" fontId="0" fillId="6" borderId="9" xfId="0" applyNumberFormat="1" applyFill="1" applyBorder="1" applyProtection="1"/>
    <xf numFmtId="168" fontId="32" fillId="6" borderId="9" xfId="0" applyNumberFormat="1" applyFont="1" applyFill="1" applyBorder="1" applyProtection="1"/>
    <xf numFmtId="9" fontId="1" fillId="6" borderId="9" xfId="0" applyNumberFormat="1" applyFont="1" applyFill="1" applyBorder="1" applyAlignment="1" applyProtection="1">
      <alignment horizontal="right"/>
    </xf>
    <xf numFmtId="0" fontId="0" fillId="6" borderId="9" xfId="0" applyFill="1" applyBorder="1" applyProtection="1"/>
    <xf numFmtId="9" fontId="0" fillId="6" borderId="9" xfId="0" applyNumberFormat="1" applyFill="1" applyBorder="1" applyProtection="1"/>
    <xf numFmtId="172" fontId="0" fillId="6" borderId="9" xfId="0" applyNumberFormat="1" applyFill="1" applyBorder="1" applyProtection="1"/>
    <xf numFmtId="169" fontId="0" fillId="6" borderId="9" xfId="0" applyNumberFormat="1" applyFill="1" applyBorder="1"/>
    <xf numFmtId="170" fontId="31" fillId="6" borderId="9" xfId="0" applyNumberFormat="1" applyFont="1" applyFill="1" applyBorder="1"/>
    <xf numFmtId="9" fontId="0" fillId="6" borderId="9" xfId="0" applyNumberFormat="1" applyFill="1" applyBorder="1" applyAlignment="1">
      <alignment horizontal="right" indent="1"/>
    </xf>
    <xf numFmtId="171" fontId="32" fillId="6" borderId="9" xfId="0" applyNumberFormat="1" applyFont="1" applyFill="1" applyBorder="1"/>
    <xf numFmtId="1" fontId="0" fillId="6" borderId="9" xfId="0" applyNumberFormat="1" applyFill="1" applyBorder="1" applyAlignment="1">
      <alignment horizontal="right" indent="1"/>
    </xf>
    <xf numFmtId="1" fontId="13" fillId="2" borderId="6" xfId="0" applyNumberFormat="1" applyFont="1" applyFill="1" applyBorder="1" applyAlignment="1" applyProtection="1">
      <alignment horizontal="center"/>
    </xf>
    <xf numFmtId="0" fontId="7" fillId="5" borderId="31" xfId="0" applyFont="1" applyFill="1" applyBorder="1" applyAlignment="1" applyProtection="1">
      <alignment horizontal="center" vertical="center" wrapText="1"/>
    </xf>
    <xf numFmtId="0" fontId="3" fillId="5" borderId="32" xfId="0" applyFont="1" applyFill="1" applyBorder="1" applyProtection="1"/>
    <xf numFmtId="2" fontId="3" fillId="5" borderId="32" xfId="0" applyNumberFormat="1" applyFont="1" applyFill="1" applyBorder="1" applyAlignment="1" applyProtection="1">
      <alignment horizontal="center"/>
    </xf>
    <xf numFmtId="2" fontId="3" fillId="5" borderId="19" xfId="0" applyNumberFormat="1" applyFont="1" applyFill="1" applyBorder="1" applyAlignment="1" applyProtection="1">
      <alignment horizontal="center"/>
    </xf>
    <xf numFmtId="0" fontId="0" fillId="5" borderId="31" xfId="0" applyFill="1" applyBorder="1" applyAlignment="1" applyProtection="1">
      <alignment vertical="center"/>
    </xf>
    <xf numFmtId="0" fontId="0" fillId="5" borderId="32" xfId="0" applyFill="1" applyBorder="1" applyProtection="1"/>
    <xf numFmtId="0" fontId="0" fillId="5" borderId="19" xfId="0" applyFill="1" applyBorder="1" applyProtection="1"/>
    <xf numFmtId="0" fontId="0" fillId="5" borderId="31" xfId="0" applyFill="1" applyBorder="1" applyAlignment="1">
      <alignment vertical="center"/>
    </xf>
    <xf numFmtId="0" fontId="0" fillId="5" borderId="32" xfId="0" applyFill="1" applyBorder="1"/>
    <xf numFmtId="0" fontId="0" fillId="5" borderId="19" xfId="0" applyFill="1" applyBorder="1"/>
    <xf numFmtId="0" fontId="17" fillId="5" borderId="31" xfId="0" applyFont="1" applyFill="1" applyBorder="1" applyAlignment="1">
      <alignment horizontal="center" vertical="center" wrapText="1"/>
    </xf>
    <xf numFmtId="9" fontId="0" fillId="5" borderId="32" xfId="0" applyNumberFormat="1" applyFill="1" applyBorder="1"/>
    <xf numFmtId="9" fontId="0" fillId="5" borderId="19" xfId="0" applyNumberFormat="1" applyFill="1" applyBorder="1"/>
    <xf numFmtId="1" fontId="6" fillId="4" borderId="7" xfId="0" applyNumberFormat="1" applyFont="1" applyFill="1" applyBorder="1" applyAlignment="1" applyProtection="1">
      <alignment horizontal="center"/>
      <protection locked="0"/>
    </xf>
    <xf numFmtId="1" fontId="8" fillId="4" borderId="33" xfId="0" applyNumberFormat="1" applyFont="1" applyFill="1" applyBorder="1" applyAlignment="1" applyProtection="1">
      <alignment horizontal="center"/>
      <protection locked="0"/>
    </xf>
    <xf numFmtId="171" fontId="8" fillId="4" borderId="13" xfId="0" applyNumberFormat="1" applyFont="1" applyFill="1" applyBorder="1" applyAlignment="1" applyProtection="1">
      <alignment horizontal="center"/>
      <protection locked="0"/>
    </xf>
    <xf numFmtId="1" fontId="27" fillId="4" borderId="33" xfId="0" applyNumberFormat="1" applyFont="1" applyFill="1" applyBorder="1" applyAlignment="1" applyProtection="1">
      <alignment horizontal="center"/>
      <protection locked="0"/>
    </xf>
    <xf numFmtId="171" fontId="27" fillId="4" borderId="13" xfId="0" applyNumberFormat="1" applyFont="1" applyFill="1" applyBorder="1" applyAlignment="1" applyProtection="1">
      <alignment horizontal="center"/>
      <protection locked="0"/>
    </xf>
    <xf numFmtId="0" fontId="7" fillId="7" borderId="8" xfId="0" applyFont="1" applyFill="1" applyBorder="1" applyAlignment="1" applyProtection="1">
      <alignment horizontal="center" vertical="center" wrapText="1"/>
    </xf>
    <xf numFmtId="2" fontId="9" fillId="4" borderId="34" xfId="0" applyNumberFormat="1" applyFont="1" applyFill="1" applyBorder="1" applyAlignment="1" applyProtection="1">
      <alignment horizontal="center"/>
      <protection locked="0"/>
    </xf>
    <xf numFmtId="164" fontId="9" fillId="4" borderId="34" xfId="0" applyNumberFormat="1" applyFont="1" applyFill="1" applyBorder="1" applyAlignment="1" applyProtection="1">
      <alignment horizontal="center"/>
      <protection locked="0"/>
    </xf>
    <xf numFmtId="165" fontId="11" fillId="4" borderId="7" xfId="0" applyNumberFormat="1" applyFont="1" applyFill="1" applyBorder="1" applyAlignment="1" applyProtection="1">
      <alignment horizontal="center"/>
      <protection locked="0"/>
    </xf>
    <xf numFmtId="1" fontId="11" fillId="4" borderId="28" xfId="0" applyNumberFormat="1" applyFont="1" applyFill="1" applyBorder="1" applyAlignment="1" applyProtection="1">
      <alignment horizontal="center"/>
      <protection locked="0"/>
    </xf>
    <xf numFmtId="1" fontId="23" fillId="4" borderId="33" xfId="0" applyNumberFormat="1" applyFont="1" applyFill="1" applyBorder="1" applyAlignment="1" applyProtection="1">
      <alignment horizontal="center"/>
      <protection locked="0"/>
    </xf>
    <xf numFmtId="165" fontId="23" fillId="4" borderId="13" xfId="0" applyNumberFormat="1" applyFont="1" applyFill="1" applyBorder="1" applyAlignment="1" applyProtection="1">
      <alignment horizontal="center"/>
      <protection locked="0"/>
    </xf>
    <xf numFmtId="171" fontId="9" fillId="4" borderId="33" xfId="0" applyNumberFormat="1" applyFont="1" applyFill="1" applyBorder="1" applyAlignment="1" applyProtection="1">
      <alignment horizontal="center"/>
      <protection locked="0"/>
    </xf>
    <xf numFmtId="171" fontId="11" fillId="4" borderId="13" xfId="0" applyNumberFormat="1" applyFont="1" applyFill="1" applyBorder="1" applyAlignment="1" applyProtection="1">
      <alignment horizontal="center"/>
      <protection locked="0"/>
    </xf>
    <xf numFmtId="171" fontId="6" fillId="4" borderId="7" xfId="0" applyNumberFormat="1" applyFont="1" applyFill="1" applyBorder="1" applyAlignment="1" applyProtection="1">
      <alignment horizontal="center"/>
      <protection locked="0"/>
    </xf>
    <xf numFmtId="1" fontId="6" fillId="4" borderId="13" xfId="0" applyNumberFormat="1" applyFont="1" applyFill="1" applyBorder="1" applyAlignment="1" applyProtection="1">
      <alignment horizontal="center" vertical="center"/>
      <protection locked="0"/>
    </xf>
    <xf numFmtId="0" fontId="17" fillId="4" borderId="35" xfId="0" applyFont="1" applyFill="1" applyBorder="1" applyAlignment="1" applyProtection="1">
      <alignment vertical="center"/>
      <protection locked="0"/>
    </xf>
    <xf numFmtId="2" fontId="30" fillId="4" borderId="35" xfId="0" applyNumberFormat="1" applyFont="1" applyFill="1" applyBorder="1" applyAlignment="1" applyProtection="1">
      <alignment vertical="center"/>
    </xf>
    <xf numFmtId="2" fontId="30" fillId="4" borderId="35" xfId="0" applyNumberFormat="1" applyFont="1" applyFill="1" applyBorder="1" applyAlignment="1" applyProtection="1">
      <alignment horizontal="right" vertical="center"/>
    </xf>
    <xf numFmtId="2" fontId="29" fillId="4" borderId="35" xfId="0" applyNumberFormat="1" applyFont="1" applyFill="1" applyBorder="1" applyAlignment="1" applyProtection="1">
      <alignment vertical="center"/>
      <protection locked="0"/>
    </xf>
    <xf numFmtId="0" fontId="17" fillId="4" borderId="35" xfId="0" applyFont="1" applyFill="1" applyBorder="1" applyAlignment="1" applyProtection="1">
      <alignment horizontal="right" vertical="center"/>
      <protection locked="0"/>
    </xf>
    <xf numFmtId="2" fontId="29" fillId="4" borderId="35" xfId="0" applyNumberFormat="1" applyFont="1" applyFill="1" applyBorder="1" applyAlignment="1" applyProtection="1">
      <alignment vertical="center"/>
    </xf>
    <xf numFmtId="9" fontId="29" fillId="4" borderId="35" xfId="0" applyNumberFormat="1" applyFont="1" applyFill="1" applyBorder="1" applyAlignment="1" applyProtection="1">
      <alignment vertical="center"/>
      <protection locked="0"/>
    </xf>
    <xf numFmtId="0" fontId="52" fillId="4" borderId="34" xfId="0" applyFont="1" applyFill="1" applyBorder="1" applyAlignment="1" applyProtection="1">
      <alignment horizontal="center"/>
      <protection locked="0"/>
    </xf>
    <xf numFmtId="0" fontId="17" fillId="4" borderId="34" xfId="0" applyFont="1" applyFill="1" applyBorder="1" applyAlignment="1" applyProtection="1">
      <alignment horizontal="right" vertical="center"/>
      <protection locked="0"/>
    </xf>
    <xf numFmtId="9" fontId="17" fillId="0" borderId="38" xfId="2" applyNumberFormat="1" applyFont="1" applyBorder="1" applyAlignment="1">
      <alignment horizontal="right" vertical="center"/>
    </xf>
    <xf numFmtId="9" fontId="17" fillId="0" borderId="0" xfId="2" applyFont="1" applyBorder="1"/>
    <xf numFmtId="0" fontId="0" fillId="0" borderId="38" xfId="0" applyBorder="1"/>
    <xf numFmtId="9" fontId="17" fillId="0" borderId="7" xfId="2" applyFont="1" applyBorder="1" applyAlignment="1">
      <alignment horizontal="right" vertical="center"/>
    </xf>
    <xf numFmtId="9" fontId="17" fillId="0" borderId="13" xfId="2" applyFont="1" applyBorder="1" applyAlignment="1">
      <alignment vertical="center"/>
    </xf>
    <xf numFmtId="9" fontId="17" fillId="0" borderId="7" xfId="2" applyFont="1" applyBorder="1" applyAlignment="1">
      <alignment vertical="center"/>
    </xf>
    <xf numFmtId="1" fontId="17" fillId="0" borderId="0" xfId="2" applyNumberFormat="1" applyFont="1" applyBorder="1" applyAlignment="1">
      <alignment vertical="center"/>
    </xf>
    <xf numFmtId="164" fontId="17" fillId="0" borderId="0" xfId="0" applyNumberFormat="1" applyFont="1" applyBorder="1" applyAlignment="1">
      <alignment horizontal="right" vertical="center"/>
    </xf>
    <xf numFmtId="0" fontId="9" fillId="0" borderId="0" xfId="0" applyFont="1" applyAlignment="1" applyProtection="1">
      <alignment vertical="center"/>
    </xf>
    <xf numFmtId="0" fontId="17" fillId="7" borderId="36" xfId="0" applyFont="1" applyFill="1" applyBorder="1" applyAlignment="1">
      <alignment horizontal="center"/>
    </xf>
    <xf numFmtId="0" fontId="17" fillId="7" borderId="37" xfId="0" applyFont="1" applyFill="1" applyBorder="1" applyAlignment="1">
      <alignment horizontal="center"/>
    </xf>
    <xf numFmtId="0" fontId="0" fillId="7" borderId="36" xfId="0" applyFill="1" applyBorder="1" applyAlignment="1">
      <alignment horizontal="center"/>
    </xf>
    <xf numFmtId="0" fontId="17" fillId="7" borderId="36" xfId="0" applyFont="1" applyFill="1" applyBorder="1" applyAlignment="1">
      <alignment horizontal="center" vertical="center"/>
    </xf>
    <xf numFmtId="0" fontId="57" fillId="0" borderId="28" xfId="0" applyFont="1" applyBorder="1" applyAlignment="1">
      <alignment horizontal="center" vertical="center"/>
    </xf>
    <xf numFmtId="0" fontId="57" fillId="0" borderId="12" xfId="0" applyFont="1" applyBorder="1" applyAlignment="1">
      <alignment horizontal="center" vertical="center"/>
    </xf>
    <xf numFmtId="0" fontId="57" fillId="0" borderId="13" xfId="0" applyFont="1" applyBorder="1" applyAlignment="1">
      <alignment horizontal="center" vertical="center"/>
    </xf>
    <xf numFmtId="0" fontId="56" fillId="0" borderId="28" xfId="0" applyFont="1" applyBorder="1" applyAlignment="1">
      <alignment horizontal="center" vertical="center"/>
    </xf>
    <xf numFmtId="0" fontId="56" fillId="0" borderId="12" xfId="0" applyFont="1" applyBorder="1" applyAlignment="1">
      <alignment horizontal="center" vertical="center"/>
    </xf>
    <xf numFmtId="0" fontId="56" fillId="0" borderId="13" xfId="0" applyFont="1" applyBorder="1" applyAlignment="1">
      <alignment horizontal="center" vertical="center"/>
    </xf>
    <xf numFmtId="0" fontId="13" fillId="7" borderId="14" xfId="0" applyFont="1" applyFill="1" applyBorder="1" applyAlignment="1" applyProtection="1">
      <alignment horizontal="center" vertical="center" wrapText="1"/>
    </xf>
    <xf numFmtId="0" fontId="0" fillId="7" borderId="14" xfId="0" applyFill="1" applyBorder="1" applyAlignment="1">
      <alignment vertical="center"/>
    </xf>
    <xf numFmtId="0" fontId="40" fillId="7" borderId="14" xfId="0" applyFont="1" applyFill="1" applyBorder="1" applyAlignment="1" applyProtection="1">
      <alignment horizontal="center" vertical="center" wrapText="1"/>
    </xf>
    <xf numFmtId="0" fontId="41" fillId="7" borderId="14" xfId="0" applyFont="1" applyFill="1" applyBorder="1" applyAlignment="1">
      <alignment horizontal="center" vertical="center" wrapText="1"/>
    </xf>
    <xf numFmtId="0" fontId="42" fillId="0" borderId="0" xfId="0" applyFont="1" applyAlignment="1">
      <alignment horizontal="center"/>
    </xf>
    <xf numFmtId="0" fontId="10" fillId="7" borderId="14" xfId="0" applyFont="1" applyFill="1" applyBorder="1" applyAlignment="1" applyProtection="1">
      <alignment vertical="center"/>
    </xf>
    <xf numFmtId="0" fontId="17" fillId="7" borderId="14" xfId="0" applyFont="1" applyFill="1" applyBorder="1" applyAlignment="1">
      <alignment horizontal="center" vertical="center" wrapText="1"/>
    </xf>
  </cellXfs>
  <cellStyles count="3">
    <cellStyle name="Гиперссылка" xfId="1" builtinId="8"/>
    <cellStyle name="Обычный" xfId="0" builtinId="0"/>
    <cellStyle name="Процентный" xfId="2" builtinId="5"/>
  </cellStyles>
  <dxfs count="18">
    <dxf>
      <numFmt numFmtId="0" formatCode="General"/>
      <alignment horizontal="right" vertical="bottom" textRotation="0" wrapText="0" indent="0" justifyLastLine="0" shrinkToFit="0" readingOrder="0"/>
    </dxf>
    <dxf>
      <numFmt numFmtId="0" formatCode="General"/>
      <alignment horizontal="right" vertical="bottom" textRotation="0" wrapText="0" indent="0" justifyLastLine="0" shrinkToFit="0" readingOrder="0"/>
    </dxf>
    <dxf>
      <numFmt numFmtId="0" formatCode="General"/>
    </dxf>
    <dxf>
      <numFmt numFmtId="0" formatCode="General"/>
    </dxf>
    <dxf>
      <numFmt numFmtId="0" formatCode="General"/>
      <alignment horizontal="right" vertical="bottom" textRotation="0" wrapText="0" indent="0" justifyLastLine="0" shrinkToFit="0" readingOrder="0"/>
    </dxf>
    <dxf>
      <numFmt numFmtId="0" formatCode="General"/>
      <alignment horizontal="right" vertical="bottom" textRotation="0" wrapText="0" indent="0" justifyLastLine="0" shrinkToFit="0" readingOrder="0"/>
    </dxf>
    <dxf>
      <numFmt numFmtId="0" formatCode="General"/>
    </dxf>
    <dxf>
      <numFmt numFmtId="0" formatCode="General"/>
    </dxf>
    <dxf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 Cyr"/>
        <charset val="204"/>
        <scheme val="none"/>
      </font>
      <numFmt numFmtId="169" formatCode="0.00_ ;[Red]\-0.00\ "/>
      <alignment horizontal="righ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 Cyr"/>
        <charset val="204"/>
        <scheme val="none"/>
      </font>
      <numFmt numFmtId="169" formatCode="0.00_ ;[Red]\-0.00\ "/>
      <alignment horizontal="righ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 Cyr"/>
        <charset val="204"/>
        <scheme val="none"/>
      </font>
      <alignment horizontal="left" vertical="center" textRotation="0" wrapText="0" indent="1" justifyLastLine="0" shrinkToFit="0" readingOrder="0"/>
      <border diagonalUp="0" diagonalDown="0">
        <left style="medium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 Cyr"/>
        <charset val="204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 style="medium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ill>
        <patternFill>
          <bgColor rgb="FF9ABAA0"/>
        </patternFill>
      </fill>
    </dxf>
    <dxf>
      <fill>
        <patternFill>
          <bgColor rgb="FFC66063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7C80"/>
        </patternFill>
      </fill>
    </dxf>
  </dxfs>
  <tableStyles count="0" defaultTableStyle="TableStyleMedium2" defaultPivotStyle="PivotStyleLight16"/>
  <colors>
    <mruColors>
      <color rgb="FF63BE7B"/>
      <color rgb="FFF8696B"/>
      <color rgb="FFFF7C80"/>
      <color rgb="FFFF5050"/>
      <color rgb="FFFF6633"/>
      <color rgb="FFC6EFCE"/>
      <color rgb="FFC66063"/>
      <color rgb="FF9ABAA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onnections" Target="connections.xml"/><Relationship Id="rId5" Type="http://schemas.openxmlformats.org/officeDocument/2006/relationships/theme" Target="theme/theme1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lineChart>
        <c:grouping val="standard"/>
        <c:varyColors val="0"/>
        <c:ser>
          <c:idx val="0"/>
          <c:order val="0"/>
          <c:tx>
            <c:v>Сетка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val>
            <c:numRef>
              <c:f>[0]!сетка</c:f>
              <c:numCache>
                <c:formatCode>0;[Red]0</c:formatCode>
                <c:ptCount val="52"/>
                <c:pt idx="0">
                  <c:v>0</c:v>
                </c:pt>
                <c:pt idx="1">
                  <c:v>86</c:v>
                </c:pt>
                <c:pt idx="2">
                  <c:v>172</c:v>
                </c:pt>
                <c:pt idx="3">
                  <c:v>181</c:v>
                </c:pt>
                <c:pt idx="4">
                  <c:v>190</c:v>
                </c:pt>
                <c:pt idx="5">
                  <c:v>199</c:v>
                </c:pt>
                <c:pt idx="6">
                  <c:v>208</c:v>
                </c:pt>
                <c:pt idx="7">
                  <c:v>217</c:v>
                </c:pt>
                <c:pt idx="8">
                  <c:v>226</c:v>
                </c:pt>
                <c:pt idx="9">
                  <c:v>235</c:v>
                </c:pt>
                <c:pt idx="10">
                  <c:v>244</c:v>
                </c:pt>
                <c:pt idx="11">
                  <c:v>253</c:v>
                </c:pt>
                <c:pt idx="12">
                  <c:v>262</c:v>
                </c:pt>
                <c:pt idx="13">
                  <c:v>271</c:v>
                </c:pt>
                <c:pt idx="14">
                  <c:v>280</c:v>
                </c:pt>
                <c:pt idx="15">
                  <c:v>289</c:v>
                </c:pt>
                <c:pt idx="16">
                  <c:v>298</c:v>
                </c:pt>
                <c:pt idx="17">
                  <c:v>307</c:v>
                </c:pt>
                <c:pt idx="18">
                  <c:v>316</c:v>
                </c:pt>
                <c:pt idx="19">
                  <c:v>325</c:v>
                </c:pt>
                <c:pt idx="20">
                  <c:v>334</c:v>
                </c:pt>
                <c:pt idx="21">
                  <c:v>343</c:v>
                </c:pt>
                <c:pt idx="22">
                  <c:v>352</c:v>
                </c:pt>
                <c:pt idx="23">
                  <c:v>361</c:v>
                </c:pt>
                <c:pt idx="24">
                  <c:v>370</c:v>
                </c:pt>
                <c:pt idx="25">
                  <c:v>379</c:v>
                </c:pt>
                <c:pt idx="26">
                  <c:v>388</c:v>
                </c:pt>
                <c:pt idx="27">
                  <c:v>397</c:v>
                </c:pt>
                <c:pt idx="28">
                  <c:v>406</c:v>
                </c:pt>
                <c:pt idx="29">
                  <c:v>415</c:v>
                </c:pt>
                <c:pt idx="30">
                  <c:v>424</c:v>
                </c:pt>
                <c:pt idx="31">
                  <c:v>433</c:v>
                </c:pt>
                <c:pt idx="32">
                  <c:v>442</c:v>
                </c:pt>
                <c:pt idx="33">
                  <c:v>451</c:v>
                </c:pt>
                <c:pt idx="34">
                  <c:v>460</c:v>
                </c:pt>
                <c:pt idx="35">
                  <c:v>469</c:v>
                </c:pt>
                <c:pt idx="36">
                  <c:v>478</c:v>
                </c:pt>
                <c:pt idx="37">
                  <c:v>487</c:v>
                </c:pt>
                <c:pt idx="38">
                  <c:v>496</c:v>
                </c:pt>
                <c:pt idx="39">
                  <c:v>505</c:v>
                </c:pt>
                <c:pt idx="40">
                  <c:v>514</c:v>
                </c:pt>
                <c:pt idx="41">
                  <c:v>523</c:v>
                </c:pt>
                <c:pt idx="42">
                  <c:v>532</c:v>
                </c:pt>
                <c:pt idx="43">
                  <c:v>541</c:v>
                </c:pt>
                <c:pt idx="44">
                  <c:v>550</c:v>
                </c:pt>
                <c:pt idx="45">
                  <c:v>559</c:v>
                </c:pt>
                <c:pt idx="46">
                  <c:v>568</c:v>
                </c:pt>
                <c:pt idx="47">
                  <c:v>577</c:v>
                </c:pt>
                <c:pt idx="48">
                  <c:v>586</c:v>
                </c:pt>
                <c:pt idx="49">
                  <c:v>595</c:v>
                </c:pt>
                <c:pt idx="50">
                  <c:v>604</c:v>
                </c:pt>
                <c:pt idx="51">
                  <c:v>613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0151-4E7C-B9F1-F664BD966892}"/>
            </c:ext>
          </c:extLst>
        </c:ser>
        <c:ser>
          <c:idx val="2"/>
          <c:order val="1"/>
          <c:tx>
            <c:v>Тейк профит</c:v>
          </c:tx>
          <c:spPr>
            <a:ln w="19050" cap="rnd">
              <a:solidFill>
                <a:srgbClr val="00B050"/>
              </a:solidFill>
              <a:round/>
            </a:ln>
            <a:effectLst/>
          </c:spPr>
          <c:marker>
            <c:symbol val="none"/>
          </c:marker>
          <c:val>
            <c:numRef>
              <c:f>[0]!ТР</c:f>
              <c:numCache>
                <c:formatCode>0;[Red]0</c:formatCode>
                <c:ptCount val="52"/>
                <c:pt idx="0">
                  <c:v>5</c:v>
                </c:pt>
                <c:pt idx="1">
                  <c:v>48</c:v>
                </c:pt>
                <c:pt idx="2">
                  <c:v>91</c:v>
                </c:pt>
                <c:pt idx="3">
                  <c:v>76</c:v>
                </c:pt>
                <c:pt idx="4">
                  <c:v>69</c:v>
                </c:pt>
                <c:pt idx="5">
                  <c:v>66</c:v>
                </c:pt>
                <c:pt idx="6">
                  <c:v>65</c:v>
                </c:pt>
                <c:pt idx="7">
                  <c:v>65</c:v>
                </c:pt>
                <c:pt idx="8">
                  <c:v>67</c:v>
                </c:pt>
                <c:pt idx="9">
                  <c:v>69</c:v>
                </c:pt>
                <c:pt idx="10">
                  <c:v>71</c:v>
                </c:pt>
                <c:pt idx="11">
                  <c:v>68</c:v>
                </c:pt>
                <c:pt idx="12">
                  <c:v>68</c:v>
                </c:pt>
                <c:pt idx="13">
                  <c:v>68</c:v>
                </c:pt>
                <c:pt idx="14">
                  <c:v>70</c:v>
                </c:pt>
                <c:pt idx="15">
                  <c:v>72</c:v>
                </c:pt>
                <c:pt idx="16">
                  <c:v>74</c:v>
                </c:pt>
                <c:pt idx="17">
                  <c:v>77</c:v>
                </c:pt>
                <c:pt idx="18">
                  <c:v>80</c:v>
                </c:pt>
                <c:pt idx="19">
                  <c:v>83</c:v>
                </c:pt>
                <c:pt idx="20">
                  <c:v>86</c:v>
                </c:pt>
                <c:pt idx="21">
                  <c:v>88</c:v>
                </c:pt>
                <c:pt idx="22">
                  <c:v>89</c:v>
                </c:pt>
                <c:pt idx="23">
                  <c:v>91</c:v>
                </c:pt>
                <c:pt idx="24">
                  <c:v>93</c:v>
                </c:pt>
                <c:pt idx="25">
                  <c:v>96</c:v>
                </c:pt>
                <c:pt idx="26">
                  <c:v>99</c:v>
                </c:pt>
                <c:pt idx="27">
                  <c:v>102</c:v>
                </c:pt>
                <c:pt idx="28">
                  <c:v>105</c:v>
                </c:pt>
                <c:pt idx="29">
                  <c:v>109</c:v>
                </c:pt>
                <c:pt idx="30">
                  <c:v>112</c:v>
                </c:pt>
                <c:pt idx="31">
                  <c:v>114</c:v>
                </c:pt>
                <c:pt idx="32">
                  <c:v>116</c:v>
                </c:pt>
                <c:pt idx="33">
                  <c:v>119</c:v>
                </c:pt>
                <c:pt idx="34">
                  <c:v>121</c:v>
                </c:pt>
                <c:pt idx="35">
                  <c:v>124</c:v>
                </c:pt>
                <c:pt idx="36">
                  <c:v>127</c:v>
                </c:pt>
                <c:pt idx="37">
                  <c:v>130</c:v>
                </c:pt>
                <c:pt idx="38">
                  <c:v>133</c:v>
                </c:pt>
                <c:pt idx="39">
                  <c:v>137</c:v>
                </c:pt>
                <c:pt idx="40">
                  <c:v>140</c:v>
                </c:pt>
                <c:pt idx="41">
                  <c:v>142</c:v>
                </c:pt>
                <c:pt idx="42">
                  <c:v>145</c:v>
                </c:pt>
                <c:pt idx="43">
                  <c:v>147</c:v>
                </c:pt>
                <c:pt idx="44">
                  <c:v>150</c:v>
                </c:pt>
                <c:pt idx="45">
                  <c:v>153</c:v>
                </c:pt>
                <c:pt idx="46">
                  <c:v>156</c:v>
                </c:pt>
                <c:pt idx="47">
                  <c:v>159</c:v>
                </c:pt>
                <c:pt idx="48">
                  <c:v>162</c:v>
                </c:pt>
                <c:pt idx="49">
                  <c:v>166</c:v>
                </c:pt>
                <c:pt idx="50">
                  <c:v>169</c:v>
                </c:pt>
                <c:pt idx="51">
                  <c:v>171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0151-4E7C-B9F1-F664BD966892}"/>
            </c:ext>
          </c:extLst>
        </c:ser>
        <c:ser>
          <c:idx val="1"/>
          <c:order val="4"/>
          <c:tx>
            <c:v>Безубыток</c:v>
          </c:tx>
          <c:spPr>
            <a:ln w="19050">
              <a:solidFill>
                <a:srgbClr val="FF0000"/>
              </a:solidFill>
            </a:ln>
          </c:spPr>
          <c:marker>
            <c:symbol val="none"/>
          </c:marker>
          <c:val>
            <c:numRef>
              <c:f>[0]!безубыток</c:f>
              <c:numCache>
                <c:formatCode>General</c:formatCode>
                <c:ptCount val="52"/>
                <c:pt idx="0">
                  <c:v>0</c:v>
                </c:pt>
                <c:pt idx="1">
                  <c:v>43</c:v>
                </c:pt>
                <c:pt idx="2">
                  <c:v>86</c:v>
                </c:pt>
                <c:pt idx="3">
                  <c:v>71</c:v>
                </c:pt>
                <c:pt idx="4">
                  <c:v>64</c:v>
                </c:pt>
                <c:pt idx="5">
                  <c:v>61</c:v>
                </c:pt>
                <c:pt idx="6">
                  <c:v>60</c:v>
                </c:pt>
                <c:pt idx="7">
                  <c:v>60</c:v>
                </c:pt>
                <c:pt idx="8">
                  <c:v>62</c:v>
                </c:pt>
                <c:pt idx="9">
                  <c:v>64</c:v>
                </c:pt>
                <c:pt idx="10">
                  <c:v>66</c:v>
                </c:pt>
                <c:pt idx="11">
                  <c:v>63</c:v>
                </c:pt>
                <c:pt idx="12">
                  <c:v>63</c:v>
                </c:pt>
                <c:pt idx="13">
                  <c:v>63</c:v>
                </c:pt>
                <c:pt idx="14">
                  <c:v>65</c:v>
                </c:pt>
                <c:pt idx="15">
                  <c:v>67</c:v>
                </c:pt>
                <c:pt idx="16">
                  <c:v>69</c:v>
                </c:pt>
                <c:pt idx="17">
                  <c:v>72</c:v>
                </c:pt>
                <c:pt idx="18">
                  <c:v>75</c:v>
                </c:pt>
                <c:pt idx="19">
                  <c:v>78</c:v>
                </c:pt>
                <c:pt idx="20">
                  <c:v>81</c:v>
                </c:pt>
                <c:pt idx="21">
                  <c:v>83</c:v>
                </c:pt>
                <c:pt idx="22">
                  <c:v>84</c:v>
                </c:pt>
                <c:pt idx="23">
                  <c:v>86</c:v>
                </c:pt>
                <c:pt idx="24">
                  <c:v>88</c:v>
                </c:pt>
                <c:pt idx="25">
                  <c:v>91</c:v>
                </c:pt>
                <c:pt idx="26">
                  <c:v>94</c:v>
                </c:pt>
                <c:pt idx="27">
                  <c:v>97</c:v>
                </c:pt>
                <c:pt idx="28">
                  <c:v>100</c:v>
                </c:pt>
                <c:pt idx="29">
                  <c:v>104</c:v>
                </c:pt>
                <c:pt idx="30">
                  <c:v>107</c:v>
                </c:pt>
                <c:pt idx="31">
                  <c:v>109</c:v>
                </c:pt>
                <c:pt idx="32">
                  <c:v>111</c:v>
                </c:pt>
                <c:pt idx="33">
                  <c:v>114</c:v>
                </c:pt>
                <c:pt idx="34">
                  <c:v>116</c:v>
                </c:pt>
                <c:pt idx="35">
                  <c:v>119</c:v>
                </c:pt>
                <c:pt idx="36">
                  <c:v>122</c:v>
                </c:pt>
                <c:pt idx="37">
                  <c:v>125</c:v>
                </c:pt>
                <c:pt idx="38">
                  <c:v>128</c:v>
                </c:pt>
                <c:pt idx="39">
                  <c:v>132</c:v>
                </c:pt>
                <c:pt idx="40">
                  <c:v>135</c:v>
                </c:pt>
                <c:pt idx="41">
                  <c:v>137</c:v>
                </c:pt>
                <c:pt idx="42">
                  <c:v>140</c:v>
                </c:pt>
                <c:pt idx="43">
                  <c:v>142</c:v>
                </c:pt>
                <c:pt idx="44">
                  <c:v>145</c:v>
                </c:pt>
                <c:pt idx="45">
                  <c:v>148</c:v>
                </c:pt>
                <c:pt idx="46">
                  <c:v>151</c:v>
                </c:pt>
                <c:pt idx="47">
                  <c:v>154</c:v>
                </c:pt>
                <c:pt idx="48">
                  <c:v>157</c:v>
                </c:pt>
                <c:pt idx="49">
                  <c:v>161</c:v>
                </c:pt>
                <c:pt idx="50">
                  <c:v>164</c:v>
                </c:pt>
                <c:pt idx="51">
                  <c:v>166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0151-4E7C-B9F1-F664BD96689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933823663"/>
        <c:axId val="1"/>
      </c:lineChart>
      <c:lineChart>
        <c:grouping val="standard"/>
        <c:varyColors val="0"/>
        <c:ser>
          <c:idx val="3"/>
          <c:order val="2"/>
          <c:tx>
            <c:v>Свободная маржа</c:v>
          </c:tx>
          <c:spPr>
            <a:ln w="19050" cap="rnd">
              <a:solidFill>
                <a:schemeClr val="tx1"/>
              </a:solidFill>
              <a:round/>
            </a:ln>
            <a:effectLst/>
          </c:spPr>
          <c:marker>
            <c:symbol val="none"/>
          </c:marker>
          <c:val>
            <c:numRef>
              <c:f>[0]!маржа</c:f>
              <c:numCache>
                <c:formatCode>0_ ;[Red]\-0\ </c:formatCode>
                <c:ptCount val="52"/>
                <c:pt idx="0">
                  <c:v>2997.85</c:v>
                </c:pt>
                <c:pt idx="1">
                  <c:v>2987.1</c:v>
                </c:pt>
                <c:pt idx="2">
                  <c:v>2967.74</c:v>
                </c:pt>
                <c:pt idx="3">
                  <c:v>2962.89</c:v>
                </c:pt>
                <c:pt idx="4">
                  <c:v>2957.14</c:v>
                </c:pt>
                <c:pt idx="5">
                  <c:v>2950.49</c:v>
                </c:pt>
                <c:pt idx="6">
                  <c:v>2942.94</c:v>
                </c:pt>
                <c:pt idx="7">
                  <c:v>2934.48</c:v>
                </c:pt>
                <c:pt idx="8">
                  <c:v>2925.13</c:v>
                </c:pt>
                <c:pt idx="9">
                  <c:v>2914.88</c:v>
                </c:pt>
                <c:pt idx="10">
                  <c:v>2903.73</c:v>
                </c:pt>
                <c:pt idx="11">
                  <c:v>2889.52</c:v>
                </c:pt>
                <c:pt idx="12">
                  <c:v>2873.52</c:v>
                </c:pt>
                <c:pt idx="13">
                  <c:v>2855.72</c:v>
                </c:pt>
                <c:pt idx="14">
                  <c:v>2836.11</c:v>
                </c:pt>
                <c:pt idx="15">
                  <c:v>2814.71</c:v>
                </c:pt>
                <c:pt idx="16">
                  <c:v>2791.5</c:v>
                </c:pt>
                <c:pt idx="17">
                  <c:v>2766.5</c:v>
                </c:pt>
                <c:pt idx="18">
                  <c:v>2739.7</c:v>
                </c:pt>
                <c:pt idx="19">
                  <c:v>2711.09</c:v>
                </c:pt>
                <c:pt idx="20">
                  <c:v>2680.69</c:v>
                </c:pt>
                <c:pt idx="21">
                  <c:v>2646.33</c:v>
                </c:pt>
                <c:pt idx="22">
                  <c:v>2609.2800000000002</c:v>
                </c:pt>
                <c:pt idx="23">
                  <c:v>2569.52</c:v>
                </c:pt>
                <c:pt idx="24">
                  <c:v>2527.06</c:v>
                </c:pt>
                <c:pt idx="25">
                  <c:v>2481.91</c:v>
                </c:pt>
                <c:pt idx="26">
                  <c:v>2434.0500000000002</c:v>
                </c:pt>
                <c:pt idx="27">
                  <c:v>2383.5</c:v>
                </c:pt>
                <c:pt idx="28">
                  <c:v>2330.2399999999998</c:v>
                </c:pt>
                <c:pt idx="29">
                  <c:v>2274.2800000000002</c:v>
                </c:pt>
                <c:pt idx="30">
                  <c:v>2215.63</c:v>
                </c:pt>
                <c:pt idx="31">
                  <c:v>2152.12</c:v>
                </c:pt>
                <c:pt idx="32">
                  <c:v>2085.0100000000002</c:v>
                </c:pt>
                <c:pt idx="33">
                  <c:v>2014.3</c:v>
                </c:pt>
                <c:pt idx="34">
                  <c:v>1940</c:v>
                </c:pt>
                <c:pt idx="35">
                  <c:v>1862.09</c:v>
                </c:pt>
                <c:pt idx="36">
                  <c:v>1780.58</c:v>
                </c:pt>
                <c:pt idx="37">
                  <c:v>1695.47</c:v>
                </c:pt>
                <c:pt idx="38">
                  <c:v>1606.76</c:v>
                </c:pt>
                <c:pt idx="39">
                  <c:v>1514.46</c:v>
                </c:pt>
                <c:pt idx="40">
                  <c:v>1418.55</c:v>
                </c:pt>
                <c:pt idx="41">
                  <c:v>1316.89</c:v>
                </c:pt>
                <c:pt idx="42">
                  <c:v>1210.73</c:v>
                </c:pt>
                <c:pt idx="43">
                  <c:v>1100.07</c:v>
                </c:pt>
                <c:pt idx="44">
                  <c:v>984.91</c:v>
                </c:pt>
                <c:pt idx="45">
                  <c:v>865.25</c:v>
                </c:pt>
                <c:pt idx="46">
                  <c:v>741.09</c:v>
                </c:pt>
                <c:pt idx="47">
                  <c:v>612.42999999999995</c:v>
                </c:pt>
                <c:pt idx="48">
                  <c:v>479.27</c:v>
                </c:pt>
                <c:pt idx="49">
                  <c:v>341.61</c:v>
                </c:pt>
                <c:pt idx="50">
                  <c:v>199.45</c:v>
                </c:pt>
                <c:pt idx="51">
                  <c:v>50.64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0151-4E7C-B9F1-F664BD966892}"/>
            </c:ext>
          </c:extLst>
        </c:ser>
        <c:ser>
          <c:idx val="4"/>
          <c:order val="3"/>
          <c:tx>
            <c:v>Прибыль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val>
            <c:numRef>
              <c:f>[0]!прибыль</c:f>
              <c:numCache>
                <c:formatCode>0.0</c:formatCode>
                <c:ptCount val="52"/>
                <c:pt idx="0">
                  <c:v>0.5</c:v>
                </c:pt>
                <c:pt idx="1">
                  <c:v>1</c:v>
                </c:pt>
                <c:pt idx="2">
                  <c:v>1.5</c:v>
                </c:pt>
                <c:pt idx="3">
                  <c:v>2</c:v>
                </c:pt>
                <c:pt idx="4">
                  <c:v>2.5</c:v>
                </c:pt>
                <c:pt idx="5">
                  <c:v>3</c:v>
                </c:pt>
                <c:pt idx="6">
                  <c:v>3.5</c:v>
                </c:pt>
                <c:pt idx="7">
                  <c:v>4</c:v>
                </c:pt>
                <c:pt idx="8">
                  <c:v>4.5</c:v>
                </c:pt>
                <c:pt idx="9">
                  <c:v>5</c:v>
                </c:pt>
                <c:pt idx="10">
                  <c:v>5.5</c:v>
                </c:pt>
                <c:pt idx="11">
                  <c:v>6.5</c:v>
                </c:pt>
                <c:pt idx="12">
                  <c:v>7.5</c:v>
                </c:pt>
                <c:pt idx="13">
                  <c:v>8.5</c:v>
                </c:pt>
                <c:pt idx="14">
                  <c:v>9.5</c:v>
                </c:pt>
                <c:pt idx="15">
                  <c:v>10.5</c:v>
                </c:pt>
                <c:pt idx="16">
                  <c:v>11.5</c:v>
                </c:pt>
                <c:pt idx="17">
                  <c:v>12.5</c:v>
                </c:pt>
                <c:pt idx="18">
                  <c:v>13.5</c:v>
                </c:pt>
                <c:pt idx="19">
                  <c:v>14.5</c:v>
                </c:pt>
                <c:pt idx="20">
                  <c:v>15.5</c:v>
                </c:pt>
                <c:pt idx="21">
                  <c:v>17</c:v>
                </c:pt>
                <c:pt idx="22">
                  <c:v>18.5</c:v>
                </c:pt>
                <c:pt idx="23">
                  <c:v>20</c:v>
                </c:pt>
                <c:pt idx="24">
                  <c:v>21.5</c:v>
                </c:pt>
                <c:pt idx="25">
                  <c:v>23</c:v>
                </c:pt>
                <c:pt idx="26">
                  <c:v>24.5</c:v>
                </c:pt>
                <c:pt idx="27">
                  <c:v>26</c:v>
                </c:pt>
                <c:pt idx="28">
                  <c:v>27.5</c:v>
                </c:pt>
                <c:pt idx="29">
                  <c:v>29</c:v>
                </c:pt>
                <c:pt idx="30">
                  <c:v>30.5</c:v>
                </c:pt>
                <c:pt idx="31">
                  <c:v>32.5</c:v>
                </c:pt>
                <c:pt idx="32">
                  <c:v>34.5</c:v>
                </c:pt>
                <c:pt idx="33">
                  <c:v>36.5</c:v>
                </c:pt>
                <c:pt idx="34">
                  <c:v>38.5</c:v>
                </c:pt>
                <c:pt idx="35">
                  <c:v>40.5</c:v>
                </c:pt>
                <c:pt idx="36">
                  <c:v>42.5</c:v>
                </c:pt>
                <c:pt idx="37">
                  <c:v>44.5</c:v>
                </c:pt>
                <c:pt idx="38">
                  <c:v>46.5</c:v>
                </c:pt>
                <c:pt idx="39">
                  <c:v>48.5</c:v>
                </c:pt>
                <c:pt idx="40">
                  <c:v>50.5</c:v>
                </c:pt>
                <c:pt idx="41">
                  <c:v>53</c:v>
                </c:pt>
                <c:pt idx="42">
                  <c:v>55.5</c:v>
                </c:pt>
                <c:pt idx="43">
                  <c:v>58</c:v>
                </c:pt>
                <c:pt idx="44">
                  <c:v>60.5</c:v>
                </c:pt>
                <c:pt idx="45">
                  <c:v>63</c:v>
                </c:pt>
                <c:pt idx="46">
                  <c:v>65.5</c:v>
                </c:pt>
                <c:pt idx="47">
                  <c:v>68</c:v>
                </c:pt>
                <c:pt idx="48">
                  <c:v>70.5</c:v>
                </c:pt>
                <c:pt idx="49">
                  <c:v>73</c:v>
                </c:pt>
                <c:pt idx="50">
                  <c:v>75.5</c:v>
                </c:pt>
                <c:pt idx="51">
                  <c:v>78.5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0151-4E7C-B9F1-F664BD96689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"/>
        <c:axId val="4"/>
      </c:lineChart>
      <c:catAx>
        <c:axId val="1933823663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ru-RU"/>
          </a:p>
        </c:txPr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  <c:max val="1000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inorGridlines/>
        <c:numFmt formatCode="0;[Red]0" sourceLinked="1"/>
        <c:majorTickMark val="none"/>
        <c:minorTickMark val="none"/>
        <c:tickLblPos val="nextTo"/>
        <c:spPr>
          <a:ln w="6350">
            <a:noFill/>
          </a:ln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ru-RU"/>
          </a:p>
        </c:txPr>
        <c:crossAx val="1933823663"/>
        <c:crosses val="autoZero"/>
        <c:crossBetween val="between"/>
      </c:valAx>
      <c:catAx>
        <c:axId val="3"/>
        <c:scaling>
          <c:orientation val="minMax"/>
        </c:scaling>
        <c:delete val="1"/>
        <c:axPos val="b"/>
        <c:majorTickMark val="out"/>
        <c:minorTickMark val="none"/>
        <c:tickLblPos val="nextTo"/>
        <c:crossAx val="4"/>
        <c:crosses val="autoZero"/>
        <c:auto val="1"/>
        <c:lblAlgn val="ctr"/>
        <c:lblOffset val="100"/>
        <c:noMultiLvlLbl val="0"/>
      </c:catAx>
      <c:valAx>
        <c:axId val="4"/>
        <c:scaling>
          <c:orientation val="minMax"/>
          <c:min val="0"/>
        </c:scaling>
        <c:delete val="0"/>
        <c:axPos val="r"/>
        <c:numFmt formatCode="0_ ;[Red]\-0\ " sourceLinked="1"/>
        <c:majorTickMark val="out"/>
        <c:minorTickMark val="none"/>
        <c:tickLblPos val="nextTo"/>
        <c:spPr>
          <a:ln w="6350">
            <a:noFill/>
          </a:ln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ru-RU"/>
          </a:p>
        </c:txPr>
        <c:crossAx val="3"/>
        <c:crosses val="max"/>
        <c:crossBetween val="between"/>
        <c:majorUnit val="500"/>
      </c:valAx>
      <c:spPr>
        <a:noFill/>
        <a:ln w="25400">
          <a:noFill/>
        </a:ln>
      </c:spPr>
    </c:plotArea>
    <c:legend>
      <c:legendPos val="t"/>
      <c:overlay val="0"/>
      <c:spPr>
        <a:noFill/>
        <a:ln w="25400">
          <a:noFill/>
        </a:ln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ru-RU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ru-RU"/>
    </a:p>
  </c:txPr>
  <c:printSettings>
    <c:headerFooter/>
    <c:pageMargins b="0.75" l="0.7" r="0.7" t="0.75" header="0.3" footer="0.3"/>
    <c:pageSetup/>
  </c:printSettings>
</c:chartSpace>
</file>

<file path=xl/ctrlProps/ctrlProp1.xml><?xml version="1.0" encoding="utf-8"?>
<formControlPr xmlns="http://schemas.microsoft.com/office/spreadsheetml/2009/9/main" objectType="Spin" dx="22" fmlaLink="$C$7" max="30000" page="10" val="0"/>
</file>

<file path=xl/ctrlProps/ctrlProp2.xml><?xml version="1.0" encoding="utf-8"?>
<formControlPr xmlns="http://schemas.microsoft.com/office/spreadsheetml/2009/9/main" objectType="Spin" dx="22" fmlaLink="$C$10" max="30000" page="10" val="2"/>
</file>

<file path=xl/ctrlProps/ctrlProp3.xml><?xml version="1.0" encoding="utf-8"?>
<formControlPr xmlns="http://schemas.microsoft.com/office/spreadsheetml/2009/9/main" objectType="Spin" dx="22" fmlaLink="$C$3" max="30000" page="10" val="5"/>
</file>

<file path=xl/ctrlProps/ctrlProp4.xml><?xml version="1.0" encoding="utf-8"?>
<formControlPr xmlns="http://schemas.microsoft.com/office/spreadsheetml/2009/9/main" objectType="Spin" dx="22" fmlaLink="$G$3" max="30000" page="10" val="86"/>
</file>

<file path=xl/ctrlProps/ctrlProp5.xml><?xml version="1.0" encoding="utf-8"?>
<formControlPr xmlns="http://schemas.microsoft.com/office/spreadsheetml/2009/9/main" objectType="Spin" dx="22" fmlaLink="$G$7" max="30000" page="10" val="4"/>
</file>

<file path=xl/ctrlProps/ctrlProp6.xml><?xml version="1.0" encoding="utf-8"?>
<formControlPr xmlns="http://schemas.microsoft.com/office/spreadsheetml/2009/9/main" objectType="Spin" dx="22" fmlaLink="$G$10" max="30000" page="10" val="0"/>
</file>

<file path=xl/ctrlProps/ctrlProp7.xml><?xml version="1.0" encoding="utf-8"?>
<formControlPr xmlns="http://schemas.microsoft.com/office/spreadsheetml/2009/9/main" objectType="Spin" dx="22" fmlaLink="$G$13" max="30000" page="10" val="4"/>
</file>

<file path=xl/ctrlProps/ctrlProp8.xml><?xml version="1.0" encoding="utf-8"?>
<formControlPr xmlns="http://schemas.microsoft.com/office/spreadsheetml/2009/9/main" objectType="Spin" dx="22" fmlaLink="$K$7" max="30000" page="10" val="3"/>
</file>

<file path=xl/ctrlProps/ctrlProp9.xml><?xml version="1.0" encoding="utf-8"?>
<formControlPr xmlns="http://schemas.microsoft.com/office/spreadsheetml/2009/9/main" objectType="Spin" dx="22" fmlaLink="$K$10" max="30000" page="10" val="0"/>
</file>

<file path=xl/ctrlProps/ctrlProp10.xml><?xml version="1.0" encoding="utf-8"?>
<formControlPr xmlns="http://schemas.microsoft.com/office/spreadsheetml/2009/9/main" objectType="Spin" dx="22" fmlaLink="$K$13" max="30000" page="10" val="0"/>
</file>

<file path=xl/ctrlProps/ctrlProp11.xml><?xml version="1.0" encoding="utf-8"?>
<formControlPr xmlns="http://schemas.microsoft.com/office/spreadsheetml/2009/9/main" objectType="Spin" dx="22" fmlaLink="$O$10" inc="500" max="30000" page="10" val="3000"/>
</file>

<file path=xl/ctrlProps/ctrlProp12.xml><?xml version="1.0" encoding="utf-8"?>
<formControlPr xmlns="http://schemas.microsoft.com/office/spreadsheetml/2009/9/main" objectType="Spin" dx="22" fmlaLink="$K$5" max="30000" page="10" val="2"/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647700</xdr:colOff>
          <xdr:row>9</xdr:row>
          <xdr:rowOff>0</xdr:rowOff>
        </xdr:from>
        <xdr:to>
          <xdr:col>14</xdr:col>
          <xdr:colOff>9525</xdr:colOff>
          <xdr:row>9</xdr:row>
          <xdr:rowOff>190500</xdr:rowOff>
        </xdr:to>
        <xdr:sp macro="" textlink="">
          <xdr:nvSpPr>
            <xdr:cNvPr id="1280" name="Spinner 256" hidden="1">
              <a:extLst>
                <a:ext uri="{63B3BB69-23CF-44E3-9099-C40C66FF867C}">
                  <a14:compatExt spid="_x0000_s1280"/>
                </a:ext>
                <a:ext uri="{FF2B5EF4-FFF2-40B4-BE49-F238E27FC236}">
                  <a16:creationId xmlns:a16="http://schemas.microsoft.com/office/drawing/2014/main" id="{00000000-0008-0000-0000-000000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xdr:twoCellAnchor>
    <xdr:from>
      <xdr:col>15</xdr:col>
      <xdr:colOff>200026</xdr:colOff>
      <xdr:row>2</xdr:row>
      <xdr:rowOff>1</xdr:rowOff>
    </xdr:from>
    <xdr:to>
      <xdr:col>19</xdr:col>
      <xdr:colOff>209551</xdr:colOff>
      <xdr:row>11</xdr:row>
      <xdr:rowOff>76201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7877176" y="323851"/>
          <a:ext cx="1790700" cy="17907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ru-RU" sz="1100" b="1" u="sng"/>
            <a:t>В разработке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335940</xdr:colOff>
          <xdr:row>2</xdr:row>
          <xdr:rowOff>13199</xdr:rowOff>
        </xdr:from>
        <xdr:to>
          <xdr:col>11</xdr:col>
          <xdr:colOff>113696</xdr:colOff>
          <xdr:row>12</xdr:row>
          <xdr:rowOff>196829</xdr:rowOff>
        </xdr:to>
        <xdr:grpSp>
          <xdr:nvGrpSpPr>
            <xdr:cNvPr id="4" name="Группа 3">
              <a:extLst>
                <a:ext uri="{FF2B5EF4-FFF2-40B4-BE49-F238E27FC236}">
                  <a16:creationId xmlns:a16="http://schemas.microsoft.com/office/drawing/2014/main" id="{00000000-0008-0000-0000-000004000000}"/>
                </a:ext>
              </a:extLst>
            </xdr:cNvPr>
            <xdr:cNvGrpSpPr/>
          </xdr:nvGrpSpPr>
          <xdr:grpSpPr>
            <a:xfrm>
              <a:off x="1650390" y="346574"/>
              <a:ext cx="4206881" cy="2164830"/>
              <a:chOff x="1649382" y="354097"/>
              <a:chExt cx="4209395" cy="2158810"/>
            </a:xfrm>
          </xdr:grpSpPr>
          <xdr:sp macro="" textlink="">
            <xdr:nvSpPr>
              <xdr:cNvPr id="1251" name="Spinner 227" hidden="1">
                <a:extLst>
                  <a:ext uri="{63B3BB69-23CF-44E3-9099-C40C66FF867C}">
                    <a14:compatExt spid="_x0000_s1251"/>
                  </a:ext>
                  <a:ext uri="{FF2B5EF4-FFF2-40B4-BE49-F238E27FC236}">
                    <a16:creationId xmlns:a16="http://schemas.microsoft.com/office/drawing/2014/main" id="{00000000-0008-0000-0000-0000E3040000}"/>
                  </a:ext>
                </a:extLst>
              </xdr:cNvPr>
              <xdr:cNvSpPr/>
            </xdr:nvSpPr>
            <xdr:spPr bwMode="auto">
              <a:xfrm>
                <a:off x="1649382" y="1128992"/>
                <a:ext cx="118445" cy="180000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</xdr:spPr>
          </xdr:sp>
          <xdr:sp macro="" textlink="">
            <xdr:nvSpPr>
              <xdr:cNvPr id="1252" name="Spinner 228" hidden="1">
                <a:extLst>
                  <a:ext uri="{63B3BB69-23CF-44E3-9099-C40C66FF867C}">
                    <a14:compatExt spid="_x0000_s1252"/>
                  </a:ext>
                  <a:ext uri="{FF2B5EF4-FFF2-40B4-BE49-F238E27FC236}">
                    <a16:creationId xmlns:a16="http://schemas.microsoft.com/office/drawing/2014/main" id="{00000000-0008-0000-0000-0000E4040000}"/>
                  </a:ext>
                </a:extLst>
              </xdr:cNvPr>
              <xdr:cNvSpPr/>
            </xdr:nvSpPr>
            <xdr:spPr bwMode="auto">
              <a:xfrm>
                <a:off x="1650449" y="1731972"/>
                <a:ext cx="118445" cy="178820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</xdr:spPr>
          </xdr:sp>
          <xdr:sp macro="" textlink="">
            <xdr:nvSpPr>
              <xdr:cNvPr id="1253" name="Spinner 229" hidden="1">
                <a:extLst>
                  <a:ext uri="{63B3BB69-23CF-44E3-9099-C40C66FF867C}">
                    <a14:compatExt spid="_x0000_s1253"/>
                  </a:ext>
                  <a:ext uri="{FF2B5EF4-FFF2-40B4-BE49-F238E27FC236}">
                    <a16:creationId xmlns:a16="http://schemas.microsoft.com/office/drawing/2014/main" id="{00000000-0008-0000-0000-0000E5040000}"/>
                  </a:ext>
                </a:extLst>
              </xdr:cNvPr>
              <xdr:cNvSpPr/>
            </xdr:nvSpPr>
            <xdr:spPr bwMode="auto">
              <a:xfrm>
                <a:off x="1650387" y="354097"/>
                <a:ext cx="118445" cy="180001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</xdr:spPr>
          </xdr:sp>
          <xdr:sp macro="" textlink="">
            <xdr:nvSpPr>
              <xdr:cNvPr id="1254" name="Spinner 230" hidden="1">
                <a:extLst>
                  <a:ext uri="{63B3BB69-23CF-44E3-9099-C40C66FF867C}">
                    <a14:compatExt spid="_x0000_s1254"/>
                  </a:ext>
                  <a:ext uri="{FF2B5EF4-FFF2-40B4-BE49-F238E27FC236}">
                    <a16:creationId xmlns:a16="http://schemas.microsoft.com/office/drawing/2014/main" id="{00000000-0008-0000-0000-0000E6040000}"/>
                  </a:ext>
                </a:extLst>
              </xdr:cNvPr>
              <xdr:cNvSpPr/>
            </xdr:nvSpPr>
            <xdr:spPr bwMode="auto">
              <a:xfrm>
                <a:off x="3644575" y="364840"/>
                <a:ext cx="118444" cy="173513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</xdr:spPr>
          </xdr:sp>
          <xdr:sp macro="" textlink="">
            <xdr:nvSpPr>
              <xdr:cNvPr id="1255" name="Spinner 231" hidden="1">
                <a:extLst>
                  <a:ext uri="{63B3BB69-23CF-44E3-9099-C40C66FF867C}">
                    <a14:compatExt spid="_x0000_s1255"/>
                  </a:ext>
                  <a:ext uri="{FF2B5EF4-FFF2-40B4-BE49-F238E27FC236}">
                    <a16:creationId xmlns:a16="http://schemas.microsoft.com/office/drawing/2014/main" id="{00000000-0008-0000-0000-0000E7040000}"/>
                  </a:ext>
                </a:extLst>
              </xdr:cNvPr>
              <xdr:cNvSpPr/>
            </xdr:nvSpPr>
            <xdr:spPr bwMode="auto">
              <a:xfrm>
                <a:off x="3644573" y="1130803"/>
                <a:ext cx="118444" cy="180000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</xdr:spPr>
          </xdr:sp>
          <xdr:sp macro="" textlink="">
            <xdr:nvSpPr>
              <xdr:cNvPr id="1256" name="Spinner 232" hidden="1">
                <a:extLst>
                  <a:ext uri="{63B3BB69-23CF-44E3-9099-C40C66FF867C}">
                    <a14:compatExt spid="_x0000_s1256"/>
                  </a:ext>
                  <a:ext uri="{FF2B5EF4-FFF2-40B4-BE49-F238E27FC236}">
                    <a16:creationId xmlns:a16="http://schemas.microsoft.com/office/drawing/2014/main" id="{00000000-0008-0000-0000-0000E8040000}"/>
                  </a:ext>
                </a:extLst>
              </xdr:cNvPr>
              <xdr:cNvSpPr/>
            </xdr:nvSpPr>
            <xdr:spPr bwMode="auto">
              <a:xfrm>
                <a:off x="3644571" y="1732298"/>
                <a:ext cx="118444" cy="178820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</xdr:spPr>
          </xdr:sp>
          <xdr:sp macro="" textlink="">
            <xdr:nvSpPr>
              <xdr:cNvPr id="1257" name="Spinner 233" hidden="1">
                <a:extLst>
                  <a:ext uri="{63B3BB69-23CF-44E3-9099-C40C66FF867C}">
                    <a14:compatExt spid="_x0000_s1257"/>
                  </a:ext>
                  <a:ext uri="{FF2B5EF4-FFF2-40B4-BE49-F238E27FC236}">
                    <a16:creationId xmlns:a16="http://schemas.microsoft.com/office/drawing/2014/main" id="{00000000-0008-0000-0000-0000E9040000}"/>
                  </a:ext>
                </a:extLst>
              </xdr:cNvPr>
              <xdr:cNvSpPr/>
            </xdr:nvSpPr>
            <xdr:spPr bwMode="auto">
              <a:xfrm>
                <a:off x="3644573" y="2332302"/>
                <a:ext cx="118444" cy="180000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</xdr:spPr>
          </xdr:sp>
          <xdr:sp macro="" textlink="">
            <xdr:nvSpPr>
              <xdr:cNvPr id="1258" name="Spinner 234" hidden="1">
                <a:extLst>
                  <a:ext uri="{63B3BB69-23CF-44E3-9099-C40C66FF867C}">
                    <a14:compatExt spid="_x0000_s1258"/>
                  </a:ext>
                  <a:ext uri="{FF2B5EF4-FFF2-40B4-BE49-F238E27FC236}">
                    <a16:creationId xmlns:a16="http://schemas.microsoft.com/office/drawing/2014/main" id="{00000000-0008-0000-0000-0000EA040000}"/>
                  </a:ext>
                </a:extLst>
              </xdr:cNvPr>
              <xdr:cNvSpPr/>
            </xdr:nvSpPr>
            <xdr:spPr bwMode="auto">
              <a:xfrm>
                <a:off x="5743258" y="1130139"/>
                <a:ext cx="115200" cy="180000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</xdr:spPr>
          </xdr:sp>
          <xdr:sp macro="" textlink="">
            <xdr:nvSpPr>
              <xdr:cNvPr id="1259" name="Spinner 235" hidden="1">
                <a:extLst>
                  <a:ext uri="{63B3BB69-23CF-44E3-9099-C40C66FF867C}">
                    <a14:compatExt spid="_x0000_s1259"/>
                  </a:ext>
                  <a:ext uri="{FF2B5EF4-FFF2-40B4-BE49-F238E27FC236}">
                    <a16:creationId xmlns:a16="http://schemas.microsoft.com/office/drawing/2014/main" id="{00000000-0008-0000-0000-0000EB040000}"/>
                  </a:ext>
                </a:extLst>
              </xdr:cNvPr>
              <xdr:cNvSpPr/>
            </xdr:nvSpPr>
            <xdr:spPr bwMode="auto">
              <a:xfrm>
                <a:off x="5743254" y="1731967"/>
                <a:ext cx="115200" cy="180000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</xdr:spPr>
          </xdr:sp>
          <xdr:sp macro="" textlink="">
            <xdr:nvSpPr>
              <xdr:cNvPr id="1261" name="Spinner 237" hidden="1">
                <a:extLst>
                  <a:ext uri="{63B3BB69-23CF-44E3-9099-C40C66FF867C}">
                    <a14:compatExt spid="_x0000_s1261"/>
                  </a:ext>
                  <a:ext uri="{FF2B5EF4-FFF2-40B4-BE49-F238E27FC236}">
                    <a16:creationId xmlns:a16="http://schemas.microsoft.com/office/drawing/2014/main" id="{00000000-0008-0000-0000-0000ED040000}"/>
                  </a:ext>
                </a:extLst>
              </xdr:cNvPr>
              <xdr:cNvSpPr/>
            </xdr:nvSpPr>
            <xdr:spPr bwMode="auto">
              <a:xfrm>
                <a:off x="5743253" y="2332907"/>
                <a:ext cx="115200" cy="180000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</xdr:spPr>
          </xdr:sp>
          <xdr:sp macro="" textlink="">
            <xdr:nvSpPr>
              <xdr:cNvPr id="1290" name="Spinner 266" hidden="1">
                <a:extLst>
                  <a:ext uri="{63B3BB69-23CF-44E3-9099-C40C66FF867C}">
                    <a14:compatExt spid="_x0000_s1290"/>
                  </a:ext>
                  <a:ext uri="{FF2B5EF4-FFF2-40B4-BE49-F238E27FC236}">
                    <a16:creationId xmlns:a16="http://schemas.microsoft.com/office/drawing/2014/main" id="{00000000-0008-0000-0000-00000A050000}"/>
                  </a:ext>
                </a:extLst>
              </xdr:cNvPr>
              <xdr:cNvSpPr/>
            </xdr:nvSpPr>
            <xdr:spPr bwMode="auto">
              <a:xfrm>
                <a:off x="5743577" y="738438"/>
                <a:ext cx="115200" cy="180000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</xdr:spPr>
          </xdr:sp>
        </xdr:grp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25</xdr:col>
      <xdr:colOff>19049</xdr:colOff>
      <xdr:row>42</xdr:row>
      <xdr:rowOff>161924</xdr:rowOff>
    </xdr:to>
    <xdr:graphicFrame macro="">
      <xdr:nvGraphicFramePr>
        <xdr:cNvPr id="2" name="Диаграмма 2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queryTables/queryTable1.xml><?xml version="1.0" encoding="utf-8"?>
<queryTable xmlns="http://schemas.openxmlformats.org/spreadsheetml/2006/main" name="ExternalData_1" refreshOnLoad="1" connectionId="1" autoFormatId="16" applyNumberFormats="0" applyBorderFormats="0" applyFontFormats="0" applyPatternFormats="0" applyAlignmentFormats="0" applyWidthHeightFormats="0">
  <queryTableRefresh nextId="7">
    <queryTableFields count="4">
      <queryTableField id="5" name="Column1" tableColumnId="6"/>
      <queryTableField id="2" name="Валюта" tableColumnId="2"/>
      <queryTableField id="3" name="Пипсы" tableColumnId="3"/>
      <queryTableField id="4" name="%" tableColumnId="4"/>
    </queryTableFields>
  </queryTableRefresh>
</queryTable>
</file>

<file path=xl/queryTables/queryTable2.xml><?xml version="1.0" encoding="utf-8"?>
<queryTable xmlns="http://schemas.openxmlformats.org/spreadsheetml/2006/main" name="ExternalData_2" refreshOnLoad="1" connectionId="2" autoFormatId="16" applyNumberFormats="0" applyBorderFormats="0" applyFontFormats="0" applyPatternFormats="0" applyAlignmentFormats="0" applyWidthHeightFormats="0">
  <queryTableRefresh nextId="7">
    <queryTableFields count="4">
      <queryTableField id="5" name="Column1" tableColumnId="6"/>
      <queryTableField id="2" name="Валюта" tableColumnId="2"/>
      <queryTableField id="3" name="Пипсы" tableColumnId="3"/>
      <queryTableField id="4" name="%" tableColumnId="4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tables/table1.xml><?xml version="1.0" encoding="utf-8"?>
<table xmlns="http://schemas.openxmlformats.org/spreadsheetml/2006/main" id="3" name="Таблица3" displayName="Таблица3" ref="A9:E37" totalsRowShown="0" tableBorderDxfId="13">
  <autoFilter ref="A9:E37"/>
  <tableColumns count="5">
    <tableColumn id="1" name="№№ пп" dataDxfId="12">
      <calculatedColumnFormula>A9+1</calculatedColumnFormula>
    </tableColumn>
    <tableColumn id="2" name="Валютная пара" dataDxfId="11"/>
    <tableColumn id="3" name="Залог, $" dataDxfId="10"/>
    <tableColumn id="4" name="Цена пункта, $" dataDxfId="9"/>
    <tableColumn id="5" name="Спред" dataDxfId="8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1" name="Table_0" displayName="Table_0" ref="A1:D22" tableType="queryTable" totalsRowShown="0">
  <autoFilter ref="A1:D22"/>
  <tableColumns count="4">
    <tableColumn id="6" uniqueName="6" name="Column1" queryTableFieldId="5" dataDxfId="7"/>
    <tableColumn id="2" uniqueName="2" name="Валюта" queryTableFieldId="2" dataDxfId="6"/>
    <tableColumn id="3" uniqueName="3" name="Пипсы" queryTableFieldId="3" dataDxfId="5"/>
    <tableColumn id="4" uniqueName="4" name="%" queryTableFieldId="4" dataDxfId="4"/>
  </tableColumns>
  <tableStyleInfo name="TableStyleMedium7" showFirstColumn="0" showLastColumn="0" showRowStripes="1" showColumnStripes="0"/>
</table>
</file>

<file path=xl/tables/table3.xml><?xml version="1.0" encoding="utf-8"?>
<table xmlns="http://schemas.openxmlformats.org/spreadsheetml/2006/main" id="2" name="Table_1" displayName="Table_1" ref="E1:H22" tableType="queryTable" totalsRowShown="0">
  <autoFilter ref="E1:H22"/>
  <tableColumns count="4">
    <tableColumn id="6" uniqueName="6" name="Column1" queryTableFieldId="5" dataDxfId="3"/>
    <tableColumn id="2" uniqueName="2" name="Валюта" queryTableFieldId="2" dataDxfId="2"/>
    <tableColumn id="3" uniqueName="3" name="Пипсы" queryTableFieldId="3" dataDxfId="1"/>
    <tableColumn id="4" uniqueName="4" name="%" queryTableFieldId="4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13" Type="http://schemas.openxmlformats.org/officeDocument/2006/relationships/ctrlProp" Target="../ctrlProps/ctrlProp10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2" Type="http://schemas.openxmlformats.org/officeDocument/2006/relationships/drawing" Target="../drawings/drawing1.xml"/><Relationship Id="rId16" Type="http://schemas.openxmlformats.org/officeDocument/2006/relationships/comments" Target="../comments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5" Type="http://schemas.openxmlformats.org/officeDocument/2006/relationships/ctrlProp" Target="../ctrlProps/ctrlProp2.xml"/><Relationship Id="rId15" Type="http://schemas.openxmlformats.org/officeDocument/2006/relationships/ctrlProp" Target="../ctrlProps/ctrlProp12.xml"/><Relationship Id="rId10" Type="http://schemas.openxmlformats.org/officeDocument/2006/relationships/ctrlProp" Target="../ctrlProps/ctrlProp7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4" Type="http://schemas.openxmlformats.org/officeDocument/2006/relationships/ctrlProp" Target="../ctrlProps/ctrlProp1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2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Лист8"/>
  <dimension ref="A1:AG122"/>
  <sheetViews>
    <sheetView tabSelected="1" zoomScaleNormal="100" workbookViewId="0">
      <pane xSplit="1" topLeftCell="B1" activePane="topRight" state="frozen"/>
      <selection pane="topRight" activeCell="O14" sqref="O14"/>
    </sheetView>
  </sheetViews>
  <sheetFormatPr defaultRowHeight="12.75" x14ac:dyDescent="0.2"/>
  <cols>
    <col min="1" max="1" width="13" customWidth="1"/>
    <col min="2" max="2" width="6.7109375" customWidth="1"/>
    <col min="3" max="3" width="5.140625" customWidth="1"/>
    <col min="4" max="4" width="1.7109375" customWidth="1"/>
    <col min="5" max="5" width="8.42578125" customWidth="1"/>
    <col min="6" max="6" width="12" customWidth="1"/>
    <col min="7" max="7" width="7.7109375" customWidth="1"/>
    <col min="8" max="8" width="1.7109375" customWidth="1"/>
    <col min="9" max="9" width="11.7109375" customWidth="1"/>
    <col min="10" max="10" width="9.5703125" customWidth="1"/>
    <col min="11" max="11" width="8.42578125" customWidth="1"/>
    <col min="12" max="12" width="1.7109375" customWidth="1"/>
    <col min="13" max="13" width="9.7109375" customWidth="1"/>
    <col min="14" max="14" width="9" customWidth="1"/>
    <col min="15" max="15" width="8.5703125" customWidth="1"/>
    <col min="16" max="16" width="7.42578125" customWidth="1"/>
    <col min="17" max="17" width="6.85546875" customWidth="1"/>
    <col min="18" max="18" width="5.7109375" customWidth="1"/>
    <col min="19" max="19" width="6.7109375" customWidth="1"/>
    <col min="20" max="20" width="5.7109375" customWidth="1"/>
    <col min="21" max="21" width="1.7109375" customWidth="1"/>
    <col min="22" max="22" width="10.140625" customWidth="1"/>
    <col min="23" max="23" width="11.42578125" customWidth="1"/>
    <col min="24" max="24" width="9.5703125" customWidth="1"/>
    <col min="25" max="25" width="7.5703125" customWidth="1"/>
    <col min="26" max="26" width="1.7109375" customWidth="1"/>
    <col min="27" max="27" width="10.42578125" customWidth="1"/>
    <col min="28" max="28" width="9.85546875" customWidth="1"/>
    <col min="30" max="30" width="9.85546875" customWidth="1"/>
    <col min="31" max="31" width="4.42578125" customWidth="1"/>
  </cols>
  <sheetData>
    <row r="1" spans="1:33" x14ac:dyDescent="0.2">
      <c r="A1" s="242" t="s">
        <v>119</v>
      </c>
      <c r="B1" s="242"/>
      <c r="C1" s="242"/>
      <c r="D1" s="242"/>
      <c r="E1" s="242"/>
      <c r="F1" s="242"/>
      <c r="G1" s="242"/>
      <c r="H1" s="242"/>
      <c r="I1" s="242"/>
      <c r="J1" s="242"/>
      <c r="K1" s="242"/>
      <c r="L1" s="94"/>
      <c r="M1" s="242" t="s">
        <v>122</v>
      </c>
      <c r="N1" s="242"/>
      <c r="O1" s="243"/>
      <c r="P1" s="242" t="s">
        <v>121</v>
      </c>
      <c r="Q1" s="244"/>
      <c r="R1" s="244"/>
      <c r="S1" s="244"/>
      <c r="T1" s="244"/>
      <c r="U1" s="94"/>
      <c r="V1" s="245" t="s">
        <v>120</v>
      </c>
      <c r="W1" s="245"/>
      <c r="X1" s="245"/>
      <c r="Y1" s="245"/>
      <c r="Z1" s="245"/>
      <c r="AA1" s="245"/>
      <c r="AB1" s="245"/>
      <c r="AC1" s="245"/>
      <c r="AD1" s="245"/>
      <c r="AE1" s="245"/>
    </row>
    <row r="2" spans="1:33" ht="13.5" thickBot="1" x14ac:dyDescent="0.25">
      <c r="C2" s="99"/>
      <c r="D2" s="100"/>
      <c r="G2" s="99"/>
      <c r="H2" s="100"/>
      <c r="I2" s="38" t="s">
        <v>50</v>
      </c>
      <c r="J2" s="37" t="str">
        <f>IF(K$2=0,"LastOrder",IF(K$2=1,"MinOrder","ОШИБКА"))</f>
        <v>MinOrder</v>
      </c>
      <c r="K2" s="231">
        <v>1</v>
      </c>
      <c r="L2" s="43"/>
      <c r="M2" s="86" t="s">
        <v>23</v>
      </c>
      <c r="N2" s="86"/>
      <c r="O2" s="232" t="s">
        <v>89</v>
      </c>
      <c r="P2" s="75"/>
      <c r="Q2" s="75"/>
      <c r="R2" s="75"/>
      <c r="S2" s="75"/>
      <c r="T2" s="75"/>
      <c r="U2" s="40"/>
      <c r="V2" s="73" t="s">
        <v>128</v>
      </c>
      <c r="W2" s="76"/>
      <c r="X2" s="78"/>
      <c r="Y2" s="81">
        <f>INDEX($G$17:$G$116,COUNTIF($AA$17:$AA$116,"&gt;0"))</f>
        <v>613</v>
      </c>
      <c r="Z2" s="78"/>
      <c r="AA2" s="237">
        <f>Y2/O5</f>
        <v>7.0057142857142853</v>
      </c>
      <c r="AB2" s="80" t="s">
        <v>109</v>
      </c>
      <c r="AC2" s="79"/>
      <c r="AD2" s="82">
        <f>COUNTIF($AA$17:$AA$116,"&gt;0")</f>
        <v>52</v>
      </c>
      <c r="AF2" s="79"/>
      <c r="AG2" s="75"/>
    </row>
    <row r="3" spans="1:33" ht="15.75" thickBot="1" x14ac:dyDescent="0.3">
      <c r="A3" s="5" t="s">
        <v>17</v>
      </c>
      <c r="B3" s="3"/>
      <c r="C3" s="208">
        <v>5</v>
      </c>
      <c r="D3" s="101"/>
      <c r="E3" s="5" t="s">
        <v>10</v>
      </c>
      <c r="F3" s="13"/>
      <c r="G3" s="208">
        <v>86</v>
      </c>
      <c r="H3" s="101"/>
      <c r="I3" s="5" t="s">
        <v>0</v>
      </c>
      <c r="J3" s="33" t="str">
        <f>IF(K$3&lt;0,"д.б. &gt;0","")</f>
        <v/>
      </c>
      <c r="K3" s="214">
        <v>0.01</v>
      </c>
      <c r="L3" s="43"/>
      <c r="M3" s="86" t="s">
        <v>24</v>
      </c>
      <c r="N3" s="86"/>
      <c r="O3" s="224">
        <v>4</v>
      </c>
      <c r="P3" s="75"/>
      <c r="Q3" s="75"/>
      <c r="R3" s="75"/>
      <c r="S3" s="75"/>
      <c r="T3" s="75"/>
      <c r="U3" s="40"/>
      <c r="V3" s="73" t="s">
        <v>110</v>
      </c>
      <c r="W3" s="79"/>
      <c r="X3" s="79"/>
      <c r="Y3" s="98">
        <f>INDEX($M$17:$M$116,1)</f>
        <v>0.5</v>
      </c>
      <c r="Z3" s="79"/>
      <c r="AA3" s="233"/>
      <c r="AB3" s="73" t="s">
        <v>108</v>
      </c>
      <c r="AC3" s="78"/>
      <c r="AD3" s="83">
        <f>SUMPRODUCT($A$17:INDEX($A$17:$A$116,COUNTIF($AA$17:$AA$116,"&gt;0")),$F$17:INDEX($F$17:$F$116,COUNTIF($AA$17:$AA$116,"&gt;0")))/SUMIF($AA$17:$AA$116,"&gt;0",$A$17:$A$116)</f>
        <v>9.2728592162554424</v>
      </c>
      <c r="AE3" s="75"/>
    </row>
    <row r="4" spans="1:33" ht="15.75" thickBot="1" x14ac:dyDescent="0.3">
      <c r="A4" s="5"/>
      <c r="B4" s="3"/>
      <c r="C4" s="10"/>
      <c r="D4" s="102"/>
      <c r="E4" s="5"/>
      <c r="F4" s="13"/>
      <c r="G4" s="9"/>
      <c r="H4" s="102"/>
      <c r="I4" s="5" t="s">
        <v>1</v>
      </c>
      <c r="J4" s="33" t="str">
        <f>IF(K$4&lt;0,"д.б. &gt;0","")</f>
        <v/>
      </c>
      <c r="K4" s="215">
        <v>0.5</v>
      </c>
      <c r="L4" s="100"/>
      <c r="M4" s="87" t="s">
        <v>25</v>
      </c>
      <c r="N4" s="86"/>
      <c r="O4" s="225">
        <f>IF(O3=4,VLOOKUP($O$2,Таблица3[[Валютная пара]:[Цена пункта, $]],3,),(VLOOKUP($O$2,Таблица3[[Валютная пара]:[Цена пункта, $]],3,))/10)</f>
        <v>10</v>
      </c>
      <c r="P4" s="75"/>
      <c r="Q4" s="75"/>
      <c r="R4" s="75"/>
      <c r="S4" s="75"/>
      <c r="T4" s="75"/>
      <c r="U4" s="40"/>
      <c r="V4" s="73" t="s">
        <v>111</v>
      </c>
      <c r="W4" s="78"/>
      <c r="X4" s="78"/>
      <c r="Y4" s="98">
        <f>INDEX($M$17:$M$116,COUNTIF($AA$17:$AA$116,"&gt;0"))</f>
        <v>78.5</v>
      </c>
      <c r="Z4" s="78"/>
      <c r="AA4" s="238">
        <f>(INDEX($M$17:$M$116,COUNTIF($AA$17:$AA$116,"&gt;0")))/O10</f>
        <v>2.6166666666666668E-2</v>
      </c>
      <c r="AB4" s="77" t="s">
        <v>8</v>
      </c>
      <c r="AC4" s="78"/>
      <c r="AD4" s="240">
        <f>SUMPRODUCT($A$17:INDEX($A$17:$A$116,COUNTIF($AA$17:$AA$116,"&gt;0")),$I$17:INDEX($I$17:$I$116,COUNTIF($AA$17:$AA$116,"&gt;0")))/SUMIF($AA$17:$AA$116,"&gt;0",$A$17:$A$116)</f>
        <v>3.8004354136429614</v>
      </c>
    </row>
    <row r="5" spans="1:33" ht="15" customHeight="1" thickBot="1" x14ac:dyDescent="0.45">
      <c r="A5" s="5"/>
      <c r="B5" s="3"/>
      <c r="C5" s="10"/>
      <c r="D5" s="102"/>
      <c r="E5" s="5"/>
      <c r="F5" s="13"/>
      <c r="G5" s="10"/>
      <c r="H5" s="102"/>
      <c r="I5" s="241" t="s">
        <v>6</v>
      </c>
      <c r="J5" s="33" t="str">
        <f>IF(K$5&lt;2,"д.б. &gt;1","")</f>
        <v/>
      </c>
      <c r="K5" s="223">
        <v>2</v>
      </c>
      <c r="L5" s="100"/>
      <c r="M5" s="88" t="str">
        <f>HYPERLINK("http://ru.investing.com/tools/forex-volatility-calculator","Волатильность")</f>
        <v>Волатильность</v>
      </c>
      <c r="N5" s="87"/>
      <c r="O5" s="226" t="str">
        <f>IF(O3=4,IFERROR(VLOOKUP($O$2,Table_0[[Валюта]:[Пипсы]],2,),VLOOKUP($O$2,Table_1[[Валюта]:[Пипсы]],2,)),(IFERROR(VLOOKUP($O$2,Table_0[[Валюта]:[Пипсы]],2,),VLOOKUP($O$2,Table_1[[Валюта]:[Пипсы]],2,)))*10)</f>
        <v>87,50</v>
      </c>
      <c r="P5" s="75"/>
      <c r="Q5" s="75"/>
      <c r="R5" s="75"/>
      <c r="S5" s="75"/>
      <c r="T5" s="75"/>
      <c r="U5" s="40"/>
      <c r="V5" s="73" t="s">
        <v>112</v>
      </c>
      <c r="W5" s="78"/>
      <c r="X5" s="78"/>
      <c r="Y5" s="98">
        <f>SUMPRODUCT($A$17:INDEX($A$17:$A$116,COUNTIF($AA$17:$AA$116,"&gt;0")),$M$17:INDEX($M$17:$M$116,COUNTIF($AA$17:$AA$116,"&gt;0")))/SUMIF($AA$17:$AA$116,"&gt;0",$A$17:$A$116)</f>
        <v>42.122641509433961</v>
      </c>
      <c r="Z5" s="78"/>
      <c r="AA5" s="236">
        <f>$Y$5/$O$10</f>
        <v>1.4040880503144653E-2</v>
      </c>
      <c r="AB5" s="77" t="s">
        <v>9</v>
      </c>
      <c r="AC5" s="78"/>
      <c r="AD5" s="84">
        <f>SUMPRODUCT($A$17:INDEX($A$17:$A$116,COUNTIF($AA$17:$AA$116,"&gt;0")),$J$17:INDEX($J$17:$J$116,COUNTIF($AA$17:$AA$116,"&gt;0")))/SUMIF($AA$17:$AA$116,"&gt;0",$A$17:$A$116)</f>
        <v>3.8004354136429608E-2</v>
      </c>
      <c r="AG5" s="39"/>
    </row>
    <row r="6" spans="1:33" ht="15" customHeight="1" thickBot="1" x14ac:dyDescent="0.45">
      <c r="A6" s="6"/>
      <c r="B6" s="3"/>
      <c r="C6" s="20"/>
      <c r="D6" s="103"/>
      <c r="E6" s="6"/>
      <c r="F6" s="13"/>
      <c r="G6" s="1"/>
      <c r="H6" s="103"/>
      <c r="I6" s="6"/>
      <c r="J6" s="33"/>
      <c r="K6" s="1"/>
      <c r="L6" s="109"/>
      <c r="M6" s="89" t="s">
        <v>27</v>
      </c>
      <c r="N6" s="90"/>
      <c r="O6" s="227">
        <v>0</v>
      </c>
      <c r="P6" s="75"/>
      <c r="Q6" s="75"/>
      <c r="R6" s="75"/>
      <c r="S6" s="75"/>
      <c r="T6" s="75"/>
      <c r="U6" s="40"/>
      <c r="V6" s="73" t="s">
        <v>113</v>
      </c>
      <c r="W6" s="78"/>
      <c r="X6" s="78"/>
      <c r="Y6" s="98">
        <f>SUMPRODUCT($A$17:INDEX($A$17:$A$116,COUNTIF($AA$17:$AA$116,"&gt;0")),$W$17:INDEX($W$17:$W$116,COUNTIF($AA$17:$AA$116,"&gt;0")))/SUMIF($AA$17:$AA$116,"&gt;0",$A$17:$A$116)</f>
        <v>1325.1282293178522</v>
      </c>
      <c r="Z6" s="78"/>
      <c r="AA6" s="238">
        <f>$Y$6/$O$10</f>
        <v>0.44170940977261741</v>
      </c>
      <c r="AB6" s="77" t="s">
        <v>107</v>
      </c>
      <c r="AC6" s="79"/>
      <c r="AD6" s="82">
        <f>INDEX($K$17:$K$116,COUNTIF($AA$17:$AA$116,"&gt;0"))</f>
        <v>1.570000000000001</v>
      </c>
      <c r="AG6" s="39"/>
    </row>
    <row r="7" spans="1:33" ht="15.75" thickBot="1" x14ac:dyDescent="0.3">
      <c r="A7" s="35" t="s">
        <v>18</v>
      </c>
      <c r="B7" s="4"/>
      <c r="C7" s="209">
        <v>0</v>
      </c>
      <c r="D7" s="104"/>
      <c r="E7" s="35" t="s">
        <v>11</v>
      </c>
      <c r="F7" s="15"/>
      <c r="G7" s="209">
        <v>4</v>
      </c>
      <c r="H7" s="104"/>
      <c r="I7" s="35" t="s">
        <v>2</v>
      </c>
      <c r="J7" s="33" t="str">
        <f>IF(K$7&lt;0,"д.б. &gt;=0","")</f>
        <v/>
      </c>
      <c r="K7" s="217">
        <v>3</v>
      </c>
      <c r="L7" s="109"/>
      <c r="M7" s="89" t="s">
        <v>123</v>
      </c>
      <c r="N7" s="95" t="s">
        <v>124</v>
      </c>
      <c r="O7" s="228"/>
      <c r="P7" s="75"/>
      <c r="Q7" s="75"/>
      <c r="R7" s="75"/>
      <c r="S7" s="75"/>
      <c r="T7" s="75"/>
      <c r="U7" s="40"/>
      <c r="V7" s="73" t="s">
        <v>125</v>
      </c>
      <c r="W7" s="79"/>
      <c r="X7" s="79"/>
      <c r="Y7" s="82"/>
      <c r="Z7" s="79"/>
      <c r="AA7" s="238">
        <f>$Y$5/Y6</f>
        <v>3.178759653404848E-2</v>
      </c>
      <c r="AB7" s="80" t="s">
        <v>158</v>
      </c>
      <c r="AD7" s="239">
        <f>INDEX($AC$17:$AC$116,COUNTIF($AA$17:$AA$116,"&gt;0"))</f>
        <v>22.593248407643312</v>
      </c>
      <c r="AG7" s="249">
        <v>1</v>
      </c>
    </row>
    <row r="8" spans="1:33" ht="15.75" thickBot="1" x14ac:dyDescent="0.3">
      <c r="A8" s="35" t="s">
        <v>19</v>
      </c>
      <c r="B8" s="4"/>
      <c r="C8" s="210">
        <v>0</v>
      </c>
      <c r="D8" s="105"/>
      <c r="E8" s="35" t="s">
        <v>12</v>
      </c>
      <c r="F8" s="15"/>
      <c r="G8" s="210">
        <v>-77</v>
      </c>
      <c r="H8" s="105"/>
      <c r="I8" s="35" t="s">
        <v>3</v>
      </c>
      <c r="J8" s="33" t="str">
        <f>IF(AND(K$7=0,K$8&lt;&gt;0),"д.б. =0","")</f>
        <v/>
      </c>
      <c r="K8" s="216">
        <v>0.1</v>
      </c>
      <c r="L8" s="109"/>
      <c r="M8" s="89" t="s">
        <v>26</v>
      </c>
      <c r="N8" s="90"/>
      <c r="O8" s="229">
        <f>VLOOKUP($O$2,Таблица3[[Валютная пара]:[Цена пункта, $]],2,)</f>
        <v>215.2</v>
      </c>
      <c r="P8" s="75"/>
      <c r="Q8" s="75"/>
      <c r="R8" s="75"/>
      <c r="S8" s="75"/>
      <c r="T8" s="75"/>
      <c r="U8" s="40"/>
      <c r="V8" s="73" t="s">
        <v>159</v>
      </c>
      <c r="W8" s="76"/>
      <c r="X8" s="76"/>
      <c r="Y8" s="83">
        <f>SUMPRODUCT($A$17:INDEX($A$17:$A$116,COUNTIF($AA$17:$AA$116,"&gt;0")),$Q$17:INDEX($Q$17:$Q$116,COUNTIF($AA$17:$AA$116,"&gt;0")))/SUMIF($AA$17:$AA$116,"&gt;0",$A$17:$A$116)</f>
        <v>118.86865021770681</v>
      </c>
      <c r="Z8" s="76"/>
      <c r="AA8" s="238">
        <f>SUMPRODUCT(A17:INDEX($A$17:$A$116,COUNTIF($AA$17:$AA$116,"&gt;0")),R17:INDEX($R$17:$R$116,COUNTIF($AA$17:$AA$116,"&gt;0")))/SUMIF($AA$17:$AA$116,"&gt;0",$A$17:$A$116)</f>
        <v>0.25689404934687954</v>
      </c>
      <c r="AG8" s="250"/>
    </row>
    <row r="9" spans="1:33" ht="15.75" thickBot="1" x14ac:dyDescent="0.3">
      <c r="A9" s="35"/>
      <c r="B9" s="4"/>
      <c r="C9" s="21"/>
      <c r="D9" s="104"/>
      <c r="E9" s="35"/>
      <c r="F9" s="15"/>
      <c r="G9" s="16"/>
      <c r="H9" s="104"/>
      <c r="I9" s="35"/>
      <c r="J9" s="34" t="str">
        <f>IF(OR(K$7=1,K$7&lt;0,K$10=1,K$10&lt;0,AND(K$7&gt;0,K$5&gt;=K$7),AND(K$10&gt;0,K$5&gt;=K$10),AND(K$7&gt;1,K$10&gt;1,K$7&gt;=K$10),K$13&lt;0,AND(K$13&gt;0,K$5&gt;K$13),AND(K$7&gt;1,K$13&gt;0,K$7&gt;K$13),AND(K$10&gt;1,K$13&gt;0,K$10&gt;K$13)),"ОШИБКА № колен","")</f>
        <v/>
      </c>
      <c r="K9" s="16"/>
      <c r="L9" s="110"/>
      <c r="M9" s="89" t="s">
        <v>28</v>
      </c>
      <c r="N9" s="90"/>
      <c r="O9" s="230">
        <v>0.1</v>
      </c>
      <c r="P9" s="75"/>
      <c r="Q9" s="75"/>
      <c r="R9" s="75"/>
      <c r="S9" s="75"/>
      <c r="T9" s="75"/>
      <c r="U9" s="40"/>
      <c r="V9" s="73" t="s">
        <v>160</v>
      </c>
      <c r="W9" s="79"/>
      <c r="X9" s="79"/>
      <c r="Y9" s="83">
        <f>SUMPRODUCT($A$17:INDEX($A$17:$A$116,COUNTIF($AA$17:$AA$116,"&gt;0")),$S$17:INDEX($S$17:$S$116,COUNTIF($AA$17:$AA$116,"&gt;0")))/SUMIF($AA$17:$AA$116,"&gt;0",$A$17:$A$116)</f>
        <v>123.86865021770681</v>
      </c>
      <c r="Z9" s="114"/>
      <c r="AA9" s="238">
        <f>SUMPRODUCT(A17:INDEX($A$17:$A$116,COUNTIF($AA$17:$AA$116,"&gt;0")),T17:INDEX($T$17:$T$116,COUNTIF($AA$17:$AA$116,"&gt;0")))/SUMIF($AA$17:$AA$116,"&gt;0",$A$17:$A$116)</f>
        <v>0.26880986937590712</v>
      </c>
      <c r="AG9" s="251"/>
    </row>
    <row r="10" spans="1:33" ht="15.75" thickBot="1" x14ac:dyDescent="0.3">
      <c r="A10" s="36" t="s">
        <v>20</v>
      </c>
      <c r="B10" s="19"/>
      <c r="C10" s="211">
        <v>2</v>
      </c>
      <c r="D10" s="106"/>
      <c r="E10" s="36" t="s">
        <v>13</v>
      </c>
      <c r="F10" s="17"/>
      <c r="G10" s="211">
        <v>0</v>
      </c>
      <c r="H10" s="106"/>
      <c r="I10" s="36" t="s">
        <v>4</v>
      </c>
      <c r="J10" s="33" t="str">
        <f>IF(K$10&lt;0,"д.б. &gt;=0","")</f>
        <v/>
      </c>
      <c r="K10" s="218">
        <v>0</v>
      </c>
      <c r="L10" s="110"/>
      <c r="M10" s="91" t="s">
        <v>29</v>
      </c>
      <c r="N10" s="92"/>
      <c r="O10" s="113">
        <v>3000</v>
      </c>
      <c r="P10" s="75"/>
      <c r="Q10" s="75"/>
      <c r="R10" s="75"/>
      <c r="S10" s="75"/>
      <c r="T10" s="75"/>
      <c r="U10" s="40"/>
      <c r="AG10" s="27"/>
    </row>
    <row r="11" spans="1:33" ht="15.75" thickBot="1" x14ac:dyDescent="0.3">
      <c r="A11" s="36" t="s">
        <v>21</v>
      </c>
      <c r="B11" s="19"/>
      <c r="C11" s="212">
        <v>5</v>
      </c>
      <c r="D11" s="107"/>
      <c r="E11" s="36" t="s">
        <v>14</v>
      </c>
      <c r="F11" s="17"/>
      <c r="G11" s="212">
        <v>0</v>
      </c>
      <c r="H11" s="107"/>
      <c r="I11" s="36" t="s">
        <v>5</v>
      </c>
      <c r="J11" s="33" t="str">
        <f>IF(AND(K$10=0,K$11&lt;&gt;0),"д.б. =0","")</f>
        <v/>
      </c>
      <c r="K11" s="219">
        <v>0</v>
      </c>
      <c r="L11" s="110"/>
      <c r="M11" s="75"/>
      <c r="N11" s="75"/>
      <c r="O11" s="85"/>
      <c r="P11" s="75"/>
      <c r="Q11" s="75"/>
      <c r="R11" s="75"/>
      <c r="S11" s="75"/>
      <c r="T11" s="75"/>
      <c r="U11" s="40"/>
      <c r="AG11" s="27"/>
    </row>
    <row r="12" spans="1:33" ht="15.75" thickBot="1" x14ac:dyDescent="0.3">
      <c r="A12" s="18"/>
      <c r="B12" s="19"/>
      <c r="C12" s="29"/>
      <c r="D12" s="41"/>
      <c r="E12" s="18"/>
      <c r="F12" s="17"/>
      <c r="G12" s="29"/>
      <c r="H12" s="107"/>
      <c r="I12" s="18"/>
      <c r="J12" s="33"/>
      <c r="K12" s="30"/>
      <c r="L12" s="111"/>
      <c r="M12" s="75"/>
      <c r="N12" s="75"/>
      <c r="O12" s="85"/>
      <c r="P12" s="93"/>
      <c r="Q12" s="75"/>
      <c r="R12" s="75"/>
      <c r="S12" s="75"/>
      <c r="T12" s="75"/>
      <c r="U12" s="94"/>
      <c r="AC12" s="75"/>
      <c r="AG12" s="27"/>
    </row>
    <row r="13" spans="1:33" ht="15.75" thickBot="1" x14ac:dyDescent="0.3">
      <c r="A13" s="5"/>
      <c r="B13" s="28"/>
      <c r="C13" s="32"/>
      <c r="D13" s="42"/>
      <c r="E13" s="5" t="s">
        <v>47</v>
      </c>
      <c r="F13" s="31"/>
      <c r="G13" s="222">
        <v>4</v>
      </c>
      <c r="H13" s="108"/>
      <c r="I13" s="5" t="s">
        <v>48</v>
      </c>
      <c r="J13" s="33" t="str">
        <f>IF(K$13&lt;0,"д.б. &gt;=0","")</f>
        <v/>
      </c>
      <c r="K13" s="220">
        <v>0</v>
      </c>
      <c r="L13" s="111"/>
      <c r="M13" s="75"/>
      <c r="N13" s="75"/>
      <c r="O13" s="85"/>
      <c r="P13" s="93"/>
      <c r="Q13" s="75"/>
      <c r="R13" s="75"/>
      <c r="S13" s="75"/>
      <c r="T13" s="75"/>
      <c r="U13" s="94"/>
      <c r="AB13" s="234"/>
      <c r="AC13" s="75"/>
      <c r="AG13" s="27"/>
    </row>
    <row r="14" spans="1:33" ht="17.25" customHeight="1" thickBot="1" x14ac:dyDescent="0.3">
      <c r="A14" s="5"/>
      <c r="B14" s="28"/>
      <c r="C14" s="32"/>
      <c r="D14" s="42"/>
      <c r="E14" s="5"/>
      <c r="F14" s="31"/>
      <c r="G14" s="32"/>
      <c r="H14" s="42"/>
      <c r="I14" s="7" t="s">
        <v>51</v>
      </c>
      <c r="J14" s="33" t="str">
        <f>IF(K$14&lt;0,"д.б. &gt;=0","")</f>
        <v/>
      </c>
      <c r="K14" s="221">
        <v>0</v>
      </c>
      <c r="L14" s="112"/>
      <c r="M14" s="75"/>
      <c r="N14" s="75"/>
      <c r="O14" s="85"/>
      <c r="P14" s="93"/>
      <c r="Q14" s="75"/>
      <c r="R14" s="75"/>
      <c r="S14" s="75"/>
      <c r="T14" s="75"/>
      <c r="U14" s="94"/>
      <c r="AB14" s="235"/>
      <c r="AG14" s="27"/>
    </row>
    <row r="15" spans="1:33" ht="65.25" customHeight="1" thickBot="1" x14ac:dyDescent="0.25">
      <c r="A15" s="115" t="s">
        <v>7</v>
      </c>
      <c r="B15" s="116" t="s">
        <v>49</v>
      </c>
      <c r="C15" s="117" t="s">
        <v>16</v>
      </c>
      <c r="D15" s="195"/>
      <c r="E15" s="116" t="s">
        <v>15</v>
      </c>
      <c r="F15" s="117" t="s">
        <v>37</v>
      </c>
      <c r="G15" s="117" t="s">
        <v>36</v>
      </c>
      <c r="H15" s="195"/>
      <c r="I15" s="117" t="s">
        <v>8</v>
      </c>
      <c r="J15" s="117" t="s">
        <v>9</v>
      </c>
      <c r="K15" s="213" t="s">
        <v>38</v>
      </c>
      <c r="L15" s="199"/>
      <c r="M15" s="118" t="s">
        <v>30</v>
      </c>
      <c r="N15" s="119" t="s">
        <v>22</v>
      </c>
      <c r="O15" s="254" t="s">
        <v>103</v>
      </c>
      <c r="P15" s="255"/>
      <c r="Q15" s="252" t="s">
        <v>104</v>
      </c>
      <c r="R15" s="253"/>
      <c r="S15" s="252" t="s">
        <v>105</v>
      </c>
      <c r="T15" s="257"/>
      <c r="U15" s="202"/>
      <c r="V15" s="120" t="s">
        <v>31</v>
      </c>
      <c r="W15" s="121" t="s">
        <v>34</v>
      </c>
      <c r="X15" s="120" t="s">
        <v>35</v>
      </c>
      <c r="Y15" s="120" t="s">
        <v>33</v>
      </c>
      <c r="Z15" s="205"/>
      <c r="AA15" s="122" t="s">
        <v>46</v>
      </c>
      <c r="AB15" s="120" t="s">
        <v>32</v>
      </c>
      <c r="AC15" s="258" t="s">
        <v>39</v>
      </c>
      <c r="AD15" s="258"/>
      <c r="AE15" s="123" t="s">
        <v>40</v>
      </c>
      <c r="AF15" s="14"/>
      <c r="AG15" s="97">
        <v>2</v>
      </c>
    </row>
    <row r="16" spans="1:33" ht="15" customHeight="1" x14ac:dyDescent="0.25">
      <c r="A16" s="124"/>
      <c r="B16" s="125"/>
      <c r="C16" s="126"/>
      <c r="D16" s="196"/>
      <c r="E16" s="125"/>
      <c r="F16" s="126"/>
      <c r="G16" s="126"/>
      <c r="H16" s="196"/>
      <c r="I16" s="125"/>
      <c r="J16" s="126"/>
      <c r="K16" s="126"/>
      <c r="L16" s="200"/>
      <c r="M16" s="127"/>
      <c r="N16" s="127"/>
      <c r="O16" s="128" t="s">
        <v>106</v>
      </c>
      <c r="P16" s="129" t="s">
        <v>114</v>
      </c>
      <c r="Q16" s="130" t="s">
        <v>115</v>
      </c>
      <c r="R16" s="130" t="s">
        <v>116</v>
      </c>
      <c r="S16" s="130" t="s">
        <v>115</v>
      </c>
      <c r="T16" s="130" t="s">
        <v>116</v>
      </c>
      <c r="U16" s="203"/>
      <c r="V16" s="131"/>
      <c r="W16" s="131"/>
      <c r="X16" s="131"/>
      <c r="Y16" s="131"/>
      <c r="Z16" s="203"/>
      <c r="AA16" s="131"/>
      <c r="AB16" s="131"/>
      <c r="AC16" s="131" t="s">
        <v>117</v>
      </c>
      <c r="AD16" s="131" t="s">
        <v>118</v>
      </c>
      <c r="AE16" s="132"/>
      <c r="AF16" s="14"/>
      <c r="AG16" s="96"/>
    </row>
    <row r="17" spans="1:33" ht="15" customHeight="1" x14ac:dyDescent="0.25">
      <c r="A17" s="133">
        <v>1</v>
      </c>
      <c r="B17" s="134">
        <v>0</v>
      </c>
      <c r="C17" s="135">
        <f>C$3</f>
        <v>5</v>
      </c>
      <c r="D17" s="197"/>
      <c r="E17" s="134">
        <f t="shared" ref="E17:E48" si="0">IF(OR($A17&lt;2,AND(G$13&gt;0,$A17&gt;G$13)),0,IF(AND($A17&gt;=G$10,G$10&gt;0),G$11,IF(AND($A17&gt;=G$7,G$7&gt;0),G$8,0)))</f>
        <v>0</v>
      </c>
      <c r="F17" s="11">
        <v>0</v>
      </c>
      <c r="G17" s="136">
        <f>F17</f>
        <v>0</v>
      </c>
      <c r="H17" s="197"/>
      <c r="I17" s="137">
        <f>IF(($A17&lt;K$5),1,IF(AND($A17&gt;K$13,K$13&gt;0),#REF!,IF(AND($A17&gt;=K$10,K$10&gt;0),ROUND(#REF!+K$11,4),IF(AND($A17&gt;=K$7,K$7&gt;0),ROUND(#REF!+K$8,4),K$4))))</f>
        <v>1</v>
      </c>
      <c r="J17" s="12">
        <f>IF($A17&lt;K$5, K$3, IF(K$2=0,IF(K$14&gt;0,IF(K$3*K$14&lt;ROUND(#REF!*I17, 3),K$3*K$14,ROUND(#REF!*I17, 3)),ROUND(#REF!*I17, 3)),IF(K$14&gt;0,IF(K$3*K$14&lt;ROUND(K$3*I17, 3),K$3*K$14,ROUND(K$3*I17, 3)),ROUND(K$3*I17, 3))))</f>
        <v>0.01</v>
      </c>
      <c r="K17" s="138">
        <f>J17</f>
        <v>0.01</v>
      </c>
      <c r="L17" s="200"/>
      <c r="M17" s="139">
        <f t="shared" ref="M17:M48" si="1">ROUND(C17*N17-K17*$O$6,2)</f>
        <v>0.5</v>
      </c>
      <c r="N17" s="139">
        <f t="shared" ref="N17:N48" si="2">ROUND(ROUND(K17,2)*$O$4,2)</f>
        <v>0.1</v>
      </c>
      <c r="O17" s="140">
        <f>ROUND(J17*$O$6,2)</f>
        <v>0</v>
      </c>
      <c r="P17" s="141">
        <f t="shared" ref="P17:P48" si="3">O17/$O$10</f>
        <v>0</v>
      </c>
      <c r="Q17" s="127">
        <f>ROUND(O17/N17,0)</f>
        <v>0</v>
      </c>
      <c r="R17" s="142">
        <v>0</v>
      </c>
      <c r="S17" s="143">
        <f>Q17+C17</f>
        <v>5</v>
      </c>
      <c r="T17" s="144">
        <v>0</v>
      </c>
      <c r="U17" s="203"/>
      <c r="V17" s="145">
        <f t="shared" ref="V17:V48" si="4">ROUND(K17*$O$8,2)</f>
        <v>2.15</v>
      </c>
      <c r="W17" s="146">
        <f>ROUND(O17+V17,2)</f>
        <v>2.15</v>
      </c>
      <c r="X17" s="147">
        <f>IF(O17&gt;0,ROUND(V17/O17,2),0)</f>
        <v>0</v>
      </c>
      <c r="Y17" s="147">
        <f t="shared" ref="Y17:Y48" si="5">IF($O$10&gt;0,ROUND(V17/$O$10,2),0)</f>
        <v>0</v>
      </c>
      <c r="Z17" s="206"/>
      <c r="AA17" s="148">
        <f t="shared" ref="AA17:AA48" si="6">IF($O$10&gt;0,ROUND($O$10-W17,2),0)</f>
        <v>2997.85</v>
      </c>
      <c r="AB17" s="147">
        <f t="shared" ref="AB17:AB48" si="7">IF($O$10&gt;0,ROUND(W17/$O$10,2),0)</f>
        <v>0</v>
      </c>
      <c r="AC17" s="149">
        <f t="shared" ref="AC17:AC48" si="8">IF(AND(AA17&gt;0,$O$4&gt;0),($O$10-O17-V17*$O$9)/N17,0)</f>
        <v>29997.85</v>
      </c>
      <c r="AD17" s="149">
        <f>IF(AC17&gt;0,AC17+G17,0)</f>
        <v>29997.85</v>
      </c>
      <c r="AE17" s="150">
        <v>1</v>
      </c>
      <c r="AG17" s="96"/>
    </row>
    <row r="18" spans="1:33" ht="15" x14ac:dyDescent="0.25">
      <c r="A18" s="133">
        <v>2</v>
      </c>
      <c r="B18" s="134">
        <f t="shared" ref="B18:B49" si="9">IF(AND($A18&gt;=C$10,C$10&gt;0),0,IF(AND($A18&gt;=C$7,C$7&gt;0),C$8,0))</f>
        <v>0</v>
      </c>
      <c r="C18" s="135">
        <f t="shared" ref="C18:C49" si="10">IF(AND($A18&gt;=C$10,C$10&gt;0),C$11,C17+B18)</f>
        <v>5</v>
      </c>
      <c r="D18" s="197"/>
      <c r="E18" s="134">
        <f t="shared" si="0"/>
        <v>0</v>
      </c>
      <c r="F18" s="11">
        <f>G$3+E18</f>
        <v>86</v>
      </c>
      <c r="G18" s="136">
        <f t="shared" ref="G18:G36" si="11">G17+F18</f>
        <v>86</v>
      </c>
      <c r="H18" s="197"/>
      <c r="I18" s="137">
        <f t="shared" ref="I18:I49" si="12">IF(($A18&lt;K$5),1,IF(AND($A18&gt;K$13,K$13&gt;0),I17,IF(AND($A18&gt;=K$10,K$10&gt;0),ROUND(I17+K$11,4),IF(AND($A18&gt;=K$7,K$7&gt;0),ROUND(I17+K$8,4),K$4))))</f>
        <v>0.5</v>
      </c>
      <c r="J18" s="12">
        <f t="shared" ref="J18:J49" si="13">IF($A18&lt;K$5, K$3, IF(K$2=0,IF(K$14&gt;0,IF(K$3*K$14&lt;ROUND(J17*I18, 3),K$3*K$14,ROUND(J17*I18, 3)),ROUND(J17*I18, 3)),IF(K$14&gt;0,IF(K$3*K$14&lt;ROUND(K$3*I18, 3),K$3*K$14,ROUND(K$3*I18, 3)),ROUND(K$3*I18, 3))))</f>
        <v>5.0000000000000001E-3</v>
      </c>
      <c r="K18" s="138">
        <f t="shared" ref="K18:K36" si="14">K17+ROUND(J18,2)</f>
        <v>0.02</v>
      </c>
      <c r="L18" s="200"/>
      <c r="M18" s="139">
        <f t="shared" si="1"/>
        <v>1</v>
      </c>
      <c r="N18" s="139">
        <f t="shared" si="2"/>
        <v>0.2</v>
      </c>
      <c r="O18" s="140">
        <f t="shared" ref="O18:O49" si="15">ROUND((ROUND(K17,2)*(G18-G17)*$O$4+O17+J18*$O$6),2)</f>
        <v>8.6</v>
      </c>
      <c r="P18" s="141">
        <f t="shared" si="3"/>
        <v>2.8666666666666667E-3</v>
      </c>
      <c r="Q18" s="127">
        <f>ROUND(O18/N18,0)</f>
        <v>43</v>
      </c>
      <c r="R18" s="142">
        <f>ROUND(Q18/G18,2)</f>
        <v>0.5</v>
      </c>
      <c r="S18" s="143">
        <f t="shared" ref="S18:S81" si="16">Q18+C18</f>
        <v>48</v>
      </c>
      <c r="T18" s="144">
        <f>ROUND(S18/G18,2)</f>
        <v>0.56000000000000005</v>
      </c>
      <c r="U18" s="203"/>
      <c r="V18" s="145">
        <f t="shared" si="4"/>
        <v>4.3</v>
      </c>
      <c r="W18" s="146">
        <f t="shared" ref="W18:W36" si="17">ROUND(O18+V18,2)</f>
        <v>12.9</v>
      </c>
      <c r="X18" s="147">
        <f t="shared" ref="X18:X36" si="18">IF(O18&gt;0,ROUND(V18/O18,2),0)</f>
        <v>0.5</v>
      </c>
      <c r="Y18" s="147">
        <f t="shared" si="5"/>
        <v>0</v>
      </c>
      <c r="Z18" s="206"/>
      <c r="AA18" s="148">
        <f t="shared" si="6"/>
        <v>2987.1</v>
      </c>
      <c r="AB18" s="147">
        <f t="shared" si="7"/>
        <v>0</v>
      </c>
      <c r="AC18" s="149">
        <f t="shared" si="8"/>
        <v>14954.85</v>
      </c>
      <c r="AD18" s="149">
        <f t="shared" ref="AD18:AD36" si="19">IF(AC18&gt;0,AC18+G18,0)</f>
        <v>15040.85</v>
      </c>
      <c r="AE18" s="150">
        <v>2</v>
      </c>
      <c r="AG18" s="27"/>
    </row>
    <row r="19" spans="1:33" ht="15" x14ac:dyDescent="0.25">
      <c r="A19" s="133">
        <v>3</v>
      </c>
      <c r="B19" s="134">
        <f t="shared" si="9"/>
        <v>0</v>
      </c>
      <c r="C19" s="135">
        <f t="shared" si="10"/>
        <v>5</v>
      </c>
      <c r="D19" s="197"/>
      <c r="E19" s="134">
        <f t="shared" si="0"/>
        <v>0</v>
      </c>
      <c r="F19" s="11">
        <f>F18+E19</f>
        <v>86</v>
      </c>
      <c r="G19" s="136">
        <f>G18+F19</f>
        <v>172</v>
      </c>
      <c r="H19" s="197"/>
      <c r="I19" s="137">
        <f t="shared" si="12"/>
        <v>0.6</v>
      </c>
      <c r="J19" s="12">
        <f t="shared" si="13"/>
        <v>6.0000000000000001E-3</v>
      </c>
      <c r="K19" s="138">
        <f t="shared" si="14"/>
        <v>0.03</v>
      </c>
      <c r="L19" s="200"/>
      <c r="M19" s="139">
        <f t="shared" si="1"/>
        <v>1.5</v>
      </c>
      <c r="N19" s="139">
        <f t="shared" si="2"/>
        <v>0.3</v>
      </c>
      <c r="O19" s="140">
        <f t="shared" si="15"/>
        <v>25.8</v>
      </c>
      <c r="P19" s="141">
        <f t="shared" si="3"/>
        <v>8.6E-3</v>
      </c>
      <c r="Q19" s="127">
        <f t="shared" ref="Q19:Q82" si="20">ROUND(O19/N19,0)</f>
        <v>86</v>
      </c>
      <c r="R19" s="142">
        <f t="shared" ref="R19:R82" si="21">ROUND(Q19/G19,2)</f>
        <v>0.5</v>
      </c>
      <c r="S19" s="143">
        <f t="shared" si="16"/>
        <v>91</v>
      </c>
      <c r="T19" s="144">
        <f t="shared" ref="T19:T82" si="22">ROUND(S19/G19,2)</f>
        <v>0.53</v>
      </c>
      <c r="U19" s="203"/>
      <c r="V19" s="145">
        <f t="shared" si="4"/>
        <v>6.46</v>
      </c>
      <c r="W19" s="146">
        <f t="shared" si="17"/>
        <v>32.26</v>
      </c>
      <c r="X19" s="147">
        <f t="shared" si="18"/>
        <v>0.25</v>
      </c>
      <c r="Y19" s="147">
        <f t="shared" si="5"/>
        <v>0</v>
      </c>
      <c r="Z19" s="206"/>
      <c r="AA19" s="148">
        <f t="shared" si="6"/>
        <v>2967.74</v>
      </c>
      <c r="AB19" s="147">
        <f t="shared" si="7"/>
        <v>0.01</v>
      </c>
      <c r="AC19" s="149">
        <f t="shared" si="8"/>
        <v>9911.8466666666664</v>
      </c>
      <c r="AD19" s="149">
        <f t="shared" si="19"/>
        <v>10083.846666666666</v>
      </c>
      <c r="AE19" s="150">
        <v>3</v>
      </c>
      <c r="AG19" s="27"/>
    </row>
    <row r="20" spans="1:33" ht="15" x14ac:dyDescent="0.25">
      <c r="A20" s="133">
        <v>4</v>
      </c>
      <c r="B20" s="134">
        <f t="shared" si="9"/>
        <v>0</v>
      </c>
      <c r="C20" s="135">
        <f t="shared" si="10"/>
        <v>5</v>
      </c>
      <c r="D20" s="197"/>
      <c r="E20" s="134">
        <f t="shared" si="0"/>
        <v>-77</v>
      </c>
      <c r="F20" s="11">
        <f t="shared" ref="F20:F36" si="23">F19+E20</f>
        <v>9</v>
      </c>
      <c r="G20" s="136">
        <f t="shared" si="11"/>
        <v>181</v>
      </c>
      <c r="H20" s="197"/>
      <c r="I20" s="137">
        <f t="shared" si="12"/>
        <v>0.7</v>
      </c>
      <c r="J20" s="12">
        <f t="shared" si="13"/>
        <v>7.0000000000000001E-3</v>
      </c>
      <c r="K20" s="138">
        <f t="shared" si="14"/>
        <v>0.04</v>
      </c>
      <c r="L20" s="200"/>
      <c r="M20" s="139">
        <f t="shared" si="1"/>
        <v>2</v>
      </c>
      <c r="N20" s="139">
        <f t="shared" si="2"/>
        <v>0.4</v>
      </c>
      <c r="O20" s="140">
        <f t="shared" si="15"/>
        <v>28.5</v>
      </c>
      <c r="P20" s="141">
        <f t="shared" si="3"/>
        <v>9.4999999999999998E-3</v>
      </c>
      <c r="Q20" s="127">
        <f t="shared" si="20"/>
        <v>71</v>
      </c>
      <c r="R20" s="142">
        <f t="shared" si="21"/>
        <v>0.39</v>
      </c>
      <c r="S20" s="143">
        <f t="shared" si="16"/>
        <v>76</v>
      </c>
      <c r="T20" s="144">
        <f t="shared" si="22"/>
        <v>0.42</v>
      </c>
      <c r="U20" s="203"/>
      <c r="V20" s="145">
        <f t="shared" si="4"/>
        <v>8.61</v>
      </c>
      <c r="W20" s="146">
        <f t="shared" si="17"/>
        <v>37.11</v>
      </c>
      <c r="X20" s="147">
        <f t="shared" si="18"/>
        <v>0.3</v>
      </c>
      <c r="Y20" s="147">
        <f t="shared" si="5"/>
        <v>0</v>
      </c>
      <c r="Z20" s="206"/>
      <c r="AA20" s="148">
        <f t="shared" si="6"/>
        <v>2962.89</v>
      </c>
      <c r="AB20" s="147">
        <f t="shared" si="7"/>
        <v>0.01</v>
      </c>
      <c r="AC20" s="149">
        <f t="shared" si="8"/>
        <v>7426.5974999999999</v>
      </c>
      <c r="AD20" s="149">
        <f t="shared" si="19"/>
        <v>7607.5974999999999</v>
      </c>
      <c r="AE20" s="150">
        <v>4</v>
      </c>
      <c r="AG20" s="27"/>
    </row>
    <row r="21" spans="1:33" ht="15" x14ac:dyDescent="0.25">
      <c r="A21" s="133">
        <v>5</v>
      </c>
      <c r="B21" s="151">
        <f t="shared" si="9"/>
        <v>0</v>
      </c>
      <c r="C21" s="8">
        <f t="shared" si="10"/>
        <v>5</v>
      </c>
      <c r="D21" s="197"/>
      <c r="E21" s="151">
        <f t="shared" si="0"/>
        <v>0</v>
      </c>
      <c r="F21" s="8">
        <f t="shared" si="23"/>
        <v>9</v>
      </c>
      <c r="G21" s="8">
        <f t="shared" si="11"/>
        <v>190</v>
      </c>
      <c r="H21" s="197"/>
      <c r="I21" s="152">
        <f t="shared" si="12"/>
        <v>0.8</v>
      </c>
      <c r="J21" s="2">
        <f t="shared" si="13"/>
        <v>8.0000000000000002E-3</v>
      </c>
      <c r="K21" s="2">
        <f t="shared" si="14"/>
        <v>0.05</v>
      </c>
      <c r="L21" s="200"/>
      <c r="M21" s="153">
        <f t="shared" si="1"/>
        <v>2.5</v>
      </c>
      <c r="N21" s="153">
        <f t="shared" si="2"/>
        <v>0.5</v>
      </c>
      <c r="O21" s="154">
        <f t="shared" si="15"/>
        <v>32.1</v>
      </c>
      <c r="P21" s="155">
        <f t="shared" si="3"/>
        <v>1.0700000000000001E-2</v>
      </c>
      <c r="Q21" s="156">
        <f t="shared" si="20"/>
        <v>64</v>
      </c>
      <c r="R21" s="157">
        <f t="shared" si="21"/>
        <v>0.34</v>
      </c>
      <c r="S21" s="158">
        <f t="shared" si="16"/>
        <v>69</v>
      </c>
      <c r="T21" s="157">
        <f t="shared" si="22"/>
        <v>0.36</v>
      </c>
      <c r="U21" s="203"/>
      <c r="V21" s="159">
        <f t="shared" si="4"/>
        <v>10.76</v>
      </c>
      <c r="W21" s="160">
        <f t="shared" si="17"/>
        <v>42.86</v>
      </c>
      <c r="X21" s="161">
        <f t="shared" si="18"/>
        <v>0.34</v>
      </c>
      <c r="Y21" s="161">
        <f t="shared" si="5"/>
        <v>0</v>
      </c>
      <c r="Z21" s="206"/>
      <c r="AA21" s="162">
        <f t="shared" si="6"/>
        <v>2957.14</v>
      </c>
      <c r="AB21" s="161">
        <f t="shared" si="7"/>
        <v>0.01</v>
      </c>
      <c r="AC21" s="163">
        <f t="shared" si="8"/>
        <v>5933.6480000000001</v>
      </c>
      <c r="AD21" s="163">
        <f t="shared" si="19"/>
        <v>6123.6480000000001</v>
      </c>
      <c r="AE21" s="150">
        <v>5</v>
      </c>
      <c r="AG21" s="27"/>
    </row>
    <row r="22" spans="1:33" ht="15" x14ac:dyDescent="0.25">
      <c r="A22" s="133">
        <v>6</v>
      </c>
      <c r="B22" s="134">
        <f t="shared" si="9"/>
        <v>0</v>
      </c>
      <c r="C22" s="135">
        <f t="shared" si="10"/>
        <v>5</v>
      </c>
      <c r="D22" s="197"/>
      <c r="E22" s="134">
        <f t="shared" si="0"/>
        <v>0</v>
      </c>
      <c r="F22" s="11">
        <f t="shared" si="23"/>
        <v>9</v>
      </c>
      <c r="G22" s="136">
        <f t="shared" si="11"/>
        <v>199</v>
      </c>
      <c r="H22" s="197"/>
      <c r="I22" s="137">
        <f t="shared" si="12"/>
        <v>0.9</v>
      </c>
      <c r="J22" s="12">
        <f t="shared" si="13"/>
        <v>8.9999999999999993E-3</v>
      </c>
      <c r="K22" s="138">
        <f t="shared" si="14"/>
        <v>6.0000000000000005E-2</v>
      </c>
      <c r="L22" s="200"/>
      <c r="M22" s="139">
        <f t="shared" si="1"/>
        <v>3</v>
      </c>
      <c r="N22" s="139">
        <f t="shared" si="2"/>
        <v>0.6</v>
      </c>
      <c r="O22" s="140">
        <f t="shared" si="15"/>
        <v>36.6</v>
      </c>
      <c r="P22" s="141">
        <f t="shared" si="3"/>
        <v>1.2200000000000001E-2</v>
      </c>
      <c r="Q22" s="127">
        <f t="shared" si="20"/>
        <v>61</v>
      </c>
      <c r="R22" s="142">
        <f t="shared" si="21"/>
        <v>0.31</v>
      </c>
      <c r="S22" s="143">
        <f t="shared" si="16"/>
        <v>66</v>
      </c>
      <c r="T22" s="144">
        <f t="shared" si="22"/>
        <v>0.33</v>
      </c>
      <c r="U22" s="203"/>
      <c r="V22" s="145">
        <f t="shared" si="4"/>
        <v>12.91</v>
      </c>
      <c r="W22" s="146">
        <f t="shared" si="17"/>
        <v>49.51</v>
      </c>
      <c r="X22" s="147">
        <f t="shared" si="18"/>
        <v>0.35</v>
      </c>
      <c r="Y22" s="147">
        <f t="shared" si="5"/>
        <v>0</v>
      </c>
      <c r="Z22" s="206"/>
      <c r="AA22" s="148">
        <f t="shared" si="6"/>
        <v>2950.49</v>
      </c>
      <c r="AB22" s="147">
        <f t="shared" si="7"/>
        <v>0.02</v>
      </c>
      <c r="AC22" s="149">
        <f t="shared" si="8"/>
        <v>4936.8483333333334</v>
      </c>
      <c r="AD22" s="149">
        <f t="shared" si="19"/>
        <v>5135.8483333333334</v>
      </c>
      <c r="AE22" s="150">
        <v>6</v>
      </c>
      <c r="AG22" s="27"/>
    </row>
    <row r="23" spans="1:33" ht="15" customHeight="1" x14ac:dyDescent="0.25">
      <c r="A23" s="133">
        <v>7</v>
      </c>
      <c r="B23" s="134">
        <f t="shared" si="9"/>
        <v>0</v>
      </c>
      <c r="C23" s="135">
        <f t="shared" si="10"/>
        <v>5</v>
      </c>
      <c r="D23" s="197"/>
      <c r="E23" s="134">
        <f t="shared" si="0"/>
        <v>0</v>
      </c>
      <c r="F23" s="11">
        <f t="shared" si="23"/>
        <v>9</v>
      </c>
      <c r="G23" s="136">
        <f t="shared" si="11"/>
        <v>208</v>
      </c>
      <c r="H23" s="197"/>
      <c r="I23" s="137">
        <f t="shared" si="12"/>
        <v>1</v>
      </c>
      <c r="J23" s="12">
        <f t="shared" si="13"/>
        <v>0.01</v>
      </c>
      <c r="K23" s="138">
        <f t="shared" si="14"/>
        <v>7.0000000000000007E-2</v>
      </c>
      <c r="L23" s="200"/>
      <c r="M23" s="139">
        <f t="shared" si="1"/>
        <v>3.5</v>
      </c>
      <c r="N23" s="139">
        <f t="shared" si="2"/>
        <v>0.7</v>
      </c>
      <c r="O23" s="140">
        <f t="shared" si="15"/>
        <v>42</v>
      </c>
      <c r="P23" s="141">
        <f t="shared" si="3"/>
        <v>1.4E-2</v>
      </c>
      <c r="Q23" s="127">
        <f t="shared" si="20"/>
        <v>60</v>
      </c>
      <c r="R23" s="142">
        <f t="shared" si="21"/>
        <v>0.28999999999999998</v>
      </c>
      <c r="S23" s="143">
        <f t="shared" si="16"/>
        <v>65</v>
      </c>
      <c r="T23" s="144">
        <f t="shared" si="22"/>
        <v>0.31</v>
      </c>
      <c r="U23" s="203"/>
      <c r="V23" s="145">
        <f t="shared" si="4"/>
        <v>15.06</v>
      </c>
      <c r="W23" s="146">
        <f t="shared" si="17"/>
        <v>57.06</v>
      </c>
      <c r="X23" s="147">
        <f t="shared" si="18"/>
        <v>0.36</v>
      </c>
      <c r="Y23" s="147">
        <f t="shared" si="5"/>
        <v>0.01</v>
      </c>
      <c r="Z23" s="206"/>
      <c r="AA23" s="148">
        <f t="shared" si="6"/>
        <v>2942.94</v>
      </c>
      <c r="AB23" s="147">
        <f t="shared" si="7"/>
        <v>0.02</v>
      </c>
      <c r="AC23" s="149">
        <f t="shared" si="8"/>
        <v>4223.5628571428579</v>
      </c>
      <c r="AD23" s="149">
        <f t="shared" si="19"/>
        <v>4431.5628571428579</v>
      </c>
      <c r="AE23" s="150">
        <v>7</v>
      </c>
      <c r="AG23" s="256"/>
    </row>
    <row r="24" spans="1:33" ht="15" customHeight="1" x14ac:dyDescent="0.25">
      <c r="A24" s="133">
        <v>8</v>
      </c>
      <c r="B24" s="134">
        <f t="shared" si="9"/>
        <v>0</v>
      </c>
      <c r="C24" s="135">
        <f t="shared" si="10"/>
        <v>5</v>
      </c>
      <c r="D24" s="197"/>
      <c r="E24" s="134">
        <f t="shared" si="0"/>
        <v>0</v>
      </c>
      <c r="F24" s="11">
        <f t="shared" si="23"/>
        <v>9</v>
      </c>
      <c r="G24" s="136">
        <f t="shared" si="11"/>
        <v>217</v>
      </c>
      <c r="H24" s="197"/>
      <c r="I24" s="137">
        <f t="shared" si="12"/>
        <v>1.1000000000000001</v>
      </c>
      <c r="J24" s="12">
        <f t="shared" si="13"/>
        <v>1.0999999999999999E-2</v>
      </c>
      <c r="K24" s="138">
        <f t="shared" si="14"/>
        <v>0.08</v>
      </c>
      <c r="L24" s="200"/>
      <c r="M24" s="139">
        <f t="shared" si="1"/>
        <v>4</v>
      </c>
      <c r="N24" s="139">
        <f t="shared" si="2"/>
        <v>0.8</v>
      </c>
      <c r="O24" s="140">
        <f t="shared" si="15"/>
        <v>48.3</v>
      </c>
      <c r="P24" s="141">
        <f t="shared" si="3"/>
        <v>1.61E-2</v>
      </c>
      <c r="Q24" s="127">
        <f t="shared" si="20"/>
        <v>60</v>
      </c>
      <c r="R24" s="142">
        <f t="shared" si="21"/>
        <v>0.28000000000000003</v>
      </c>
      <c r="S24" s="143">
        <f t="shared" si="16"/>
        <v>65</v>
      </c>
      <c r="T24" s="144">
        <f t="shared" si="22"/>
        <v>0.3</v>
      </c>
      <c r="U24" s="203"/>
      <c r="V24" s="145">
        <f t="shared" si="4"/>
        <v>17.22</v>
      </c>
      <c r="W24" s="146">
        <f t="shared" si="17"/>
        <v>65.52</v>
      </c>
      <c r="X24" s="147">
        <f t="shared" si="18"/>
        <v>0.36</v>
      </c>
      <c r="Y24" s="147">
        <f t="shared" si="5"/>
        <v>0.01</v>
      </c>
      <c r="Z24" s="206"/>
      <c r="AA24" s="148">
        <f t="shared" si="6"/>
        <v>2934.48</v>
      </c>
      <c r="AB24" s="147">
        <f t="shared" si="7"/>
        <v>0.02</v>
      </c>
      <c r="AC24" s="149">
        <f t="shared" si="8"/>
        <v>3687.4724999999994</v>
      </c>
      <c r="AD24" s="149">
        <f t="shared" si="19"/>
        <v>3904.4724999999994</v>
      </c>
      <c r="AE24" s="150">
        <v>8</v>
      </c>
      <c r="AG24" s="256"/>
    </row>
    <row r="25" spans="1:33" ht="17.25" customHeight="1" x14ac:dyDescent="0.25">
      <c r="A25" s="133">
        <v>9</v>
      </c>
      <c r="B25" s="134">
        <f t="shared" si="9"/>
        <v>0</v>
      </c>
      <c r="C25" s="135">
        <f t="shared" si="10"/>
        <v>5</v>
      </c>
      <c r="D25" s="197"/>
      <c r="E25" s="134">
        <f t="shared" si="0"/>
        <v>0</v>
      </c>
      <c r="F25" s="11">
        <f t="shared" si="23"/>
        <v>9</v>
      </c>
      <c r="G25" s="136">
        <f t="shared" si="11"/>
        <v>226</v>
      </c>
      <c r="H25" s="197"/>
      <c r="I25" s="137">
        <f t="shared" si="12"/>
        <v>1.2</v>
      </c>
      <c r="J25" s="12">
        <f t="shared" si="13"/>
        <v>1.2E-2</v>
      </c>
      <c r="K25" s="138">
        <f t="shared" si="14"/>
        <v>0.09</v>
      </c>
      <c r="L25" s="200"/>
      <c r="M25" s="139">
        <f t="shared" si="1"/>
        <v>4.5</v>
      </c>
      <c r="N25" s="139">
        <f t="shared" si="2"/>
        <v>0.9</v>
      </c>
      <c r="O25" s="140">
        <f t="shared" si="15"/>
        <v>55.5</v>
      </c>
      <c r="P25" s="141">
        <f t="shared" si="3"/>
        <v>1.8499999999999999E-2</v>
      </c>
      <c r="Q25" s="127">
        <f t="shared" si="20"/>
        <v>62</v>
      </c>
      <c r="R25" s="142">
        <f t="shared" si="21"/>
        <v>0.27</v>
      </c>
      <c r="S25" s="143">
        <f t="shared" si="16"/>
        <v>67</v>
      </c>
      <c r="T25" s="144">
        <f t="shared" si="22"/>
        <v>0.3</v>
      </c>
      <c r="U25" s="203"/>
      <c r="V25" s="145">
        <f t="shared" si="4"/>
        <v>19.37</v>
      </c>
      <c r="W25" s="146">
        <f t="shared" si="17"/>
        <v>74.87</v>
      </c>
      <c r="X25" s="147">
        <f t="shared" si="18"/>
        <v>0.35</v>
      </c>
      <c r="Y25" s="147">
        <f t="shared" si="5"/>
        <v>0.01</v>
      </c>
      <c r="Z25" s="206"/>
      <c r="AA25" s="148">
        <f t="shared" si="6"/>
        <v>2925.13</v>
      </c>
      <c r="AB25" s="147">
        <f t="shared" si="7"/>
        <v>0.02</v>
      </c>
      <c r="AC25" s="149">
        <f t="shared" si="8"/>
        <v>3269.5144444444445</v>
      </c>
      <c r="AD25" s="149">
        <f t="shared" si="19"/>
        <v>3495.5144444444445</v>
      </c>
      <c r="AE25" s="150">
        <v>9</v>
      </c>
      <c r="AG25" s="24"/>
    </row>
    <row r="26" spans="1:33" ht="15" x14ac:dyDescent="0.25">
      <c r="A26" s="133">
        <v>10</v>
      </c>
      <c r="B26" s="151">
        <f t="shared" si="9"/>
        <v>0</v>
      </c>
      <c r="C26" s="8">
        <f t="shared" si="10"/>
        <v>5</v>
      </c>
      <c r="D26" s="197"/>
      <c r="E26" s="151">
        <f t="shared" si="0"/>
        <v>0</v>
      </c>
      <c r="F26" s="8">
        <f t="shared" si="23"/>
        <v>9</v>
      </c>
      <c r="G26" s="8">
        <f t="shared" si="11"/>
        <v>235</v>
      </c>
      <c r="H26" s="197"/>
      <c r="I26" s="152">
        <f t="shared" si="12"/>
        <v>1.3</v>
      </c>
      <c r="J26" s="2">
        <f t="shared" si="13"/>
        <v>1.2999999999999999E-2</v>
      </c>
      <c r="K26" s="2">
        <f t="shared" si="14"/>
        <v>9.9999999999999992E-2</v>
      </c>
      <c r="L26" s="200"/>
      <c r="M26" s="153">
        <f t="shared" si="1"/>
        <v>5</v>
      </c>
      <c r="N26" s="153">
        <f t="shared" si="2"/>
        <v>1</v>
      </c>
      <c r="O26" s="154">
        <f t="shared" si="15"/>
        <v>63.6</v>
      </c>
      <c r="P26" s="155">
        <f t="shared" si="3"/>
        <v>2.12E-2</v>
      </c>
      <c r="Q26" s="156">
        <f t="shared" si="20"/>
        <v>64</v>
      </c>
      <c r="R26" s="157">
        <f t="shared" si="21"/>
        <v>0.27</v>
      </c>
      <c r="S26" s="158">
        <f t="shared" si="16"/>
        <v>69</v>
      </c>
      <c r="T26" s="157">
        <f t="shared" si="22"/>
        <v>0.28999999999999998</v>
      </c>
      <c r="U26" s="203"/>
      <c r="V26" s="159">
        <f t="shared" si="4"/>
        <v>21.52</v>
      </c>
      <c r="W26" s="160">
        <f t="shared" si="17"/>
        <v>85.12</v>
      </c>
      <c r="X26" s="161">
        <f t="shared" si="18"/>
        <v>0.34</v>
      </c>
      <c r="Y26" s="161">
        <f t="shared" si="5"/>
        <v>0.01</v>
      </c>
      <c r="Z26" s="206"/>
      <c r="AA26" s="162">
        <f t="shared" si="6"/>
        <v>2914.88</v>
      </c>
      <c r="AB26" s="161">
        <f t="shared" si="7"/>
        <v>0.03</v>
      </c>
      <c r="AC26" s="163">
        <f t="shared" si="8"/>
        <v>2934.248</v>
      </c>
      <c r="AD26" s="163">
        <f t="shared" si="19"/>
        <v>3169.248</v>
      </c>
      <c r="AE26" s="150">
        <v>10</v>
      </c>
    </row>
    <row r="27" spans="1:33" ht="15" x14ac:dyDescent="0.25">
      <c r="A27" s="133">
        <v>11</v>
      </c>
      <c r="B27" s="134">
        <f t="shared" si="9"/>
        <v>0</v>
      </c>
      <c r="C27" s="135">
        <f t="shared" si="10"/>
        <v>5</v>
      </c>
      <c r="D27" s="197"/>
      <c r="E27" s="134">
        <f t="shared" si="0"/>
        <v>0</v>
      </c>
      <c r="F27" s="11">
        <f t="shared" si="23"/>
        <v>9</v>
      </c>
      <c r="G27" s="136">
        <f t="shared" si="11"/>
        <v>244</v>
      </c>
      <c r="H27" s="197"/>
      <c r="I27" s="137">
        <f t="shared" si="12"/>
        <v>1.4</v>
      </c>
      <c r="J27" s="12">
        <f t="shared" si="13"/>
        <v>1.4E-2</v>
      </c>
      <c r="K27" s="138">
        <f t="shared" si="14"/>
        <v>0.10999999999999999</v>
      </c>
      <c r="L27" s="200"/>
      <c r="M27" s="139">
        <f t="shared" si="1"/>
        <v>5.5</v>
      </c>
      <c r="N27" s="139">
        <f t="shared" si="2"/>
        <v>1.1000000000000001</v>
      </c>
      <c r="O27" s="140">
        <f t="shared" si="15"/>
        <v>72.599999999999994</v>
      </c>
      <c r="P27" s="141">
        <f t="shared" si="3"/>
        <v>2.4199999999999999E-2</v>
      </c>
      <c r="Q27" s="127">
        <f t="shared" si="20"/>
        <v>66</v>
      </c>
      <c r="R27" s="142">
        <f t="shared" si="21"/>
        <v>0.27</v>
      </c>
      <c r="S27" s="143">
        <f t="shared" si="16"/>
        <v>71</v>
      </c>
      <c r="T27" s="144">
        <f t="shared" si="22"/>
        <v>0.28999999999999998</v>
      </c>
      <c r="U27" s="203"/>
      <c r="V27" s="145">
        <f t="shared" si="4"/>
        <v>23.67</v>
      </c>
      <c r="W27" s="146">
        <f t="shared" si="17"/>
        <v>96.27</v>
      </c>
      <c r="X27" s="147">
        <f t="shared" si="18"/>
        <v>0.33</v>
      </c>
      <c r="Y27" s="147">
        <f t="shared" si="5"/>
        <v>0.01</v>
      </c>
      <c r="Z27" s="206"/>
      <c r="AA27" s="148">
        <f t="shared" si="6"/>
        <v>2903.73</v>
      </c>
      <c r="AB27" s="147">
        <f t="shared" si="7"/>
        <v>0.03</v>
      </c>
      <c r="AC27" s="149">
        <f t="shared" si="8"/>
        <v>2659.1209090909088</v>
      </c>
      <c r="AD27" s="149">
        <f t="shared" si="19"/>
        <v>2903.1209090909088</v>
      </c>
      <c r="AE27" s="150">
        <v>11</v>
      </c>
    </row>
    <row r="28" spans="1:33" ht="15" x14ac:dyDescent="0.25">
      <c r="A28" s="133">
        <v>12</v>
      </c>
      <c r="B28" s="134">
        <f t="shared" si="9"/>
        <v>0</v>
      </c>
      <c r="C28" s="135">
        <f t="shared" si="10"/>
        <v>5</v>
      </c>
      <c r="D28" s="197"/>
      <c r="E28" s="134">
        <f t="shared" si="0"/>
        <v>0</v>
      </c>
      <c r="F28" s="11">
        <f t="shared" si="23"/>
        <v>9</v>
      </c>
      <c r="G28" s="136">
        <f t="shared" si="11"/>
        <v>253</v>
      </c>
      <c r="H28" s="197"/>
      <c r="I28" s="137">
        <f t="shared" si="12"/>
        <v>1.5</v>
      </c>
      <c r="J28" s="12">
        <f t="shared" si="13"/>
        <v>1.4999999999999999E-2</v>
      </c>
      <c r="K28" s="138">
        <f t="shared" si="14"/>
        <v>0.12999999999999998</v>
      </c>
      <c r="L28" s="200"/>
      <c r="M28" s="139">
        <f t="shared" si="1"/>
        <v>6.5</v>
      </c>
      <c r="N28" s="139">
        <f t="shared" si="2"/>
        <v>1.3</v>
      </c>
      <c r="O28" s="140">
        <f t="shared" si="15"/>
        <v>82.5</v>
      </c>
      <c r="P28" s="141">
        <f t="shared" si="3"/>
        <v>2.75E-2</v>
      </c>
      <c r="Q28" s="127">
        <f t="shared" si="20"/>
        <v>63</v>
      </c>
      <c r="R28" s="142">
        <f t="shared" si="21"/>
        <v>0.25</v>
      </c>
      <c r="S28" s="143">
        <f t="shared" si="16"/>
        <v>68</v>
      </c>
      <c r="T28" s="144">
        <f t="shared" si="22"/>
        <v>0.27</v>
      </c>
      <c r="U28" s="203"/>
      <c r="V28" s="145">
        <f t="shared" si="4"/>
        <v>27.98</v>
      </c>
      <c r="W28" s="146">
        <f t="shared" si="17"/>
        <v>110.48</v>
      </c>
      <c r="X28" s="147">
        <f t="shared" si="18"/>
        <v>0.34</v>
      </c>
      <c r="Y28" s="147">
        <f t="shared" si="5"/>
        <v>0.01</v>
      </c>
      <c r="Z28" s="206"/>
      <c r="AA28" s="148">
        <f t="shared" si="6"/>
        <v>2889.52</v>
      </c>
      <c r="AB28" s="147">
        <f t="shared" si="7"/>
        <v>0.04</v>
      </c>
      <c r="AC28" s="149">
        <f t="shared" si="8"/>
        <v>2242.0784615384619</v>
      </c>
      <c r="AD28" s="149">
        <f t="shared" si="19"/>
        <v>2495.0784615384619</v>
      </c>
      <c r="AE28" s="150">
        <v>12</v>
      </c>
    </row>
    <row r="29" spans="1:33" ht="15" x14ac:dyDescent="0.25">
      <c r="A29" s="133">
        <v>13</v>
      </c>
      <c r="B29" s="134">
        <f t="shared" si="9"/>
        <v>0</v>
      </c>
      <c r="C29" s="135">
        <f t="shared" si="10"/>
        <v>5</v>
      </c>
      <c r="D29" s="197"/>
      <c r="E29" s="134">
        <f t="shared" si="0"/>
        <v>0</v>
      </c>
      <c r="F29" s="11">
        <f t="shared" si="23"/>
        <v>9</v>
      </c>
      <c r="G29" s="136">
        <f t="shared" si="11"/>
        <v>262</v>
      </c>
      <c r="H29" s="197"/>
      <c r="I29" s="137">
        <f t="shared" si="12"/>
        <v>1.6</v>
      </c>
      <c r="J29" s="12">
        <f t="shared" si="13"/>
        <v>1.6E-2</v>
      </c>
      <c r="K29" s="138">
        <f t="shared" si="14"/>
        <v>0.14999999999999997</v>
      </c>
      <c r="L29" s="200"/>
      <c r="M29" s="139">
        <f t="shared" si="1"/>
        <v>7.5</v>
      </c>
      <c r="N29" s="139">
        <f t="shared" si="2"/>
        <v>1.5</v>
      </c>
      <c r="O29" s="140">
        <f t="shared" si="15"/>
        <v>94.2</v>
      </c>
      <c r="P29" s="141">
        <f t="shared" si="3"/>
        <v>3.1400000000000004E-2</v>
      </c>
      <c r="Q29" s="127">
        <f t="shared" si="20"/>
        <v>63</v>
      </c>
      <c r="R29" s="142">
        <f t="shared" si="21"/>
        <v>0.24</v>
      </c>
      <c r="S29" s="143">
        <f t="shared" si="16"/>
        <v>68</v>
      </c>
      <c r="T29" s="144">
        <f t="shared" si="22"/>
        <v>0.26</v>
      </c>
      <c r="U29" s="203"/>
      <c r="V29" s="145">
        <f t="shared" si="4"/>
        <v>32.28</v>
      </c>
      <c r="W29" s="146">
        <f t="shared" si="17"/>
        <v>126.48</v>
      </c>
      <c r="X29" s="147">
        <f t="shared" si="18"/>
        <v>0.34</v>
      </c>
      <c r="Y29" s="147">
        <f t="shared" si="5"/>
        <v>0.01</v>
      </c>
      <c r="Z29" s="206"/>
      <c r="AA29" s="148">
        <f t="shared" si="6"/>
        <v>2873.52</v>
      </c>
      <c r="AB29" s="147">
        <f t="shared" si="7"/>
        <v>0.04</v>
      </c>
      <c r="AC29" s="149">
        <f t="shared" si="8"/>
        <v>1935.048</v>
      </c>
      <c r="AD29" s="149">
        <f t="shared" si="19"/>
        <v>2197.0479999999998</v>
      </c>
      <c r="AE29" s="150">
        <v>13</v>
      </c>
    </row>
    <row r="30" spans="1:33" ht="15" x14ac:dyDescent="0.25">
      <c r="A30" s="133">
        <v>14</v>
      </c>
      <c r="B30" s="134">
        <f t="shared" si="9"/>
        <v>0</v>
      </c>
      <c r="C30" s="135">
        <f t="shared" si="10"/>
        <v>5</v>
      </c>
      <c r="D30" s="197"/>
      <c r="E30" s="134">
        <f t="shared" si="0"/>
        <v>0</v>
      </c>
      <c r="F30" s="11">
        <f t="shared" si="23"/>
        <v>9</v>
      </c>
      <c r="G30" s="136">
        <f t="shared" si="11"/>
        <v>271</v>
      </c>
      <c r="H30" s="197"/>
      <c r="I30" s="137">
        <f t="shared" si="12"/>
        <v>1.7</v>
      </c>
      <c r="J30" s="12">
        <f t="shared" si="13"/>
        <v>1.7000000000000001E-2</v>
      </c>
      <c r="K30" s="138">
        <f t="shared" si="14"/>
        <v>0.16999999999999996</v>
      </c>
      <c r="L30" s="200"/>
      <c r="M30" s="139">
        <f t="shared" si="1"/>
        <v>8.5</v>
      </c>
      <c r="N30" s="139">
        <f t="shared" si="2"/>
        <v>1.7</v>
      </c>
      <c r="O30" s="140">
        <f t="shared" si="15"/>
        <v>107.7</v>
      </c>
      <c r="P30" s="141">
        <f t="shared" si="3"/>
        <v>3.5900000000000001E-2</v>
      </c>
      <c r="Q30" s="127">
        <f t="shared" si="20"/>
        <v>63</v>
      </c>
      <c r="R30" s="142">
        <f t="shared" si="21"/>
        <v>0.23</v>
      </c>
      <c r="S30" s="143">
        <f t="shared" si="16"/>
        <v>68</v>
      </c>
      <c r="T30" s="144">
        <f t="shared" si="22"/>
        <v>0.25</v>
      </c>
      <c r="U30" s="203"/>
      <c r="V30" s="145">
        <f t="shared" si="4"/>
        <v>36.58</v>
      </c>
      <c r="W30" s="146">
        <f t="shared" si="17"/>
        <v>144.28</v>
      </c>
      <c r="X30" s="147">
        <f t="shared" si="18"/>
        <v>0.34</v>
      </c>
      <c r="Y30" s="147">
        <f t="shared" si="5"/>
        <v>0.01</v>
      </c>
      <c r="Z30" s="206"/>
      <c r="AA30" s="148">
        <f t="shared" si="6"/>
        <v>2855.72</v>
      </c>
      <c r="AB30" s="147">
        <f t="shared" si="7"/>
        <v>0.05</v>
      </c>
      <c r="AC30" s="149">
        <f t="shared" si="8"/>
        <v>1699.2011764705885</v>
      </c>
      <c r="AD30" s="149">
        <f t="shared" si="19"/>
        <v>1970.2011764705885</v>
      </c>
      <c r="AE30" s="150">
        <v>14</v>
      </c>
    </row>
    <row r="31" spans="1:33" ht="15" x14ac:dyDescent="0.25">
      <c r="A31" s="133">
        <v>15</v>
      </c>
      <c r="B31" s="151">
        <f t="shared" si="9"/>
        <v>0</v>
      </c>
      <c r="C31" s="8">
        <f t="shared" si="10"/>
        <v>5</v>
      </c>
      <c r="D31" s="197"/>
      <c r="E31" s="151">
        <f t="shared" si="0"/>
        <v>0</v>
      </c>
      <c r="F31" s="8">
        <f t="shared" si="23"/>
        <v>9</v>
      </c>
      <c r="G31" s="8">
        <f t="shared" si="11"/>
        <v>280</v>
      </c>
      <c r="H31" s="197"/>
      <c r="I31" s="152">
        <f t="shared" si="12"/>
        <v>1.8</v>
      </c>
      <c r="J31" s="2">
        <f t="shared" si="13"/>
        <v>1.7999999999999999E-2</v>
      </c>
      <c r="K31" s="2">
        <f t="shared" si="14"/>
        <v>0.18999999999999995</v>
      </c>
      <c r="L31" s="200"/>
      <c r="M31" s="153">
        <f t="shared" si="1"/>
        <v>9.5</v>
      </c>
      <c r="N31" s="153">
        <f t="shared" si="2"/>
        <v>1.9</v>
      </c>
      <c r="O31" s="154">
        <f t="shared" si="15"/>
        <v>123</v>
      </c>
      <c r="P31" s="155">
        <f t="shared" si="3"/>
        <v>4.1000000000000002E-2</v>
      </c>
      <c r="Q31" s="156">
        <f t="shared" si="20"/>
        <v>65</v>
      </c>
      <c r="R31" s="157">
        <f t="shared" si="21"/>
        <v>0.23</v>
      </c>
      <c r="S31" s="164">
        <f t="shared" si="16"/>
        <v>70</v>
      </c>
      <c r="T31" s="165">
        <f t="shared" si="22"/>
        <v>0.25</v>
      </c>
      <c r="U31" s="203"/>
      <c r="V31" s="159">
        <f t="shared" si="4"/>
        <v>40.89</v>
      </c>
      <c r="W31" s="160">
        <f t="shared" si="17"/>
        <v>163.89</v>
      </c>
      <c r="X31" s="161">
        <f t="shared" si="18"/>
        <v>0.33</v>
      </c>
      <c r="Y31" s="161">
        <f t="shared" si="5"/>
        <v>0.01</v>
      </c>
      <c r="Z31" s="206"/>
      <c r="AA31" s="162">
        <f t="shared" si="6"/>
        <v>2836.11</v>
      </c>
      <c r="AB31" s="161">
        <f t="shared" si="7"/>
        <v>0.05</v>
      </c>
      <c r="AC31" s="163">
        <f t="shared" si="8"/>
        <v>1512.0584210526317</v>
      </c>
      <c r="AD31" s="163">
        <f t="shared" si="19"/>
        <v>1792.0584210526317</v>
      </c>
      <c r="AE31" s="150">
        <v>15</v>
      </c>
    </row>
    <row r="32" spans="1:33" ht="15" x14ac:dyDescent="0.25">
      <c r="A32" s="133">
        <v>16</v>
      </c>
      <c r="B32" s="134">
        <f t="shared" si="9"/>
        <v>0</v>
      </c>
      <c r="C32" s="135">
        <f t="shared" si="10"/>
        <v>5</v>
      </c>
      <c r="D32" s="197"/>
      <c r="E32" s="134">
        <f t="shared" si="0"/>
        <v>0</v>
      </c>
      <c r="F32" s="11">
        <f t="shared" si="23"/>
        <v>9</v>
      </c>
      <c r="G32" s="136">
        <f t="shared" si="11"/>
        <v>289</v>
      </c>
      <c r="H32" s="197"/>
      <c r="I32" s="137">
        <f t="shared" si="12"/>
        <v>1.9</v>
      </c>
      <c r="J32" s="12">
        <f t="shared" si="13"/>
        <v>1.9E-2</v>
      </c>
      <c r="K32" s="138">
        <f t="shared" si="14"/>
        <v>0.20999999999999994</v>
      </c>
      <c r="L32" s="200"/>
      <c r="M32" s="139">
        <f t="shared" si="1"/>
        <v>10.5</v>
      </c>
      <c r="N32" s="139">
        <f t="shared" si="2"/>
        <v>2.1</v>
      </c>
      <c r="O32" s="140">
        <f t="shared" si="15"/>
        <v>140.1</v>
      </c>
      <c r="P32" s="141">
        <f t="shared" si="3"/>
        <v>4.6699999999999998E-2</v>
      </c>
      <c r="Q32" s="127">
        <f t="shared" si="20"/>
        <v>67</v>
      </c>
      <c r="R32" s="142">
        <f t="shared" si="21"/>
        <v>0.23</v>
      </c>
      <c r="S32" s="143">
        <f t="shared" si="16"/>
        <v>72</v>
      </c>
      <c r="T32" s="144">
        <f t="shared" si="22"/>
        <v>0.25</v>
      </c>
      <c r="U32" s="203"/>
      <c r="V32" s="145">
        <f t="shared" si="4"/>
        <v>45.19</v>
      </c>
      <c r="W32" s="146">
        <f t="shared" si="17"/>
        <v>185.29</v>
      </c>
      <c r="X32" s="147">
        <f t="shared" si="18"/>
        <v>0.32</v>
      </c>
      <c r="Y32" s="147">
        <f t="shared" si="5"/>
        <v>0.02</v>
      </c>
      <c r="Z32" s="206"/>
      <c r="AA32" s="148">
        <f t="shared" si="6"/>
        <v>2814.71</v>
      </c>
      <c r="AB32" s="147">
        <f t="shared" si="7"/>
        <v>0.06</v>
      </c>
      <c r="AC32" s="149">
        <f t="shared" si="8"/>
        <v>1359.7052380952382</v>
      </c>
      <c r="AD32" s="149">
        <f t="shared" si="19"/>
        <v>1648.7052380952382</v>
      </c>
      <c r="AE32" s="150">
        <v>16</v>
      </c>
    </row>
    <row r="33" spans="1:31" ht="15" x14ac:dyDescent="0.25">
      <c r="A33" s="133">
        <v>17</v>
      </c>
      <c r="B33" s="134">
        <f t="shared" si="9"/>
        <v>0</v>
      </c>
      <c r="C33" s="135">
        <f t="shared" si="10"/>
        <v>5</v>
      </c>
      <c r="D33" s="197"/>
      <c r="E33" s="134">
        <f t="shared" si="0"/>
        <v>0</v>
      </c>
      <c r="F33" s="11">
        <f t="shared" si="23"/>
        <v>9</v>
      </c>
      <c r="G33" s="136">
        <f t="shared" si="11"/>
        <v>298</v>
      </c>
      <c r="H33" s="197"/>
      <c r="I33" s="137">
        <f t="shared" si="12"/>
        <v>2</v>
      </c>
      <c r="J33" s="12">
        <f t="shared" si="13"/>
        <v>0.02</v>
      </c>
      <c r="K33" s="138">
        <f t="shared" si="14"/>
        <v>0.22999999999999993</v>
      </c>
      <c r="L33" s="200"/>
      <c r="M33" s="139">
        <f t="shared" si="1"/>
        <v>11.5</v>
      </c>
      <c r="N33" s="139">
        <f t="shared" si="2"/>
        <v>2.2999999999999998</v>
      </c>
      <c r="O33" s="140">
        <f t="shared" si="15"/>
        <v>159</v>
      </c>
      <c r="P33" s="141">
        <f t="shared" si="3"/>
        <v>5.2999999999999999E-2</v>
      </c>
      <c r="Q33" s="127">
        <f t="shared" si="20"/>
        <v>69</v>
      </c>
      <c r="R33" s="142">
        <f t="shared" si="21"/>
        <v>0.23</v>
      </c>
      <c r="S33" s="143">
        <f t="shared" si="16"/>
        <v>74</v>
      </c>
      <c r="T33" s="144">
        <f t="shared" si="22"/>
        <v>0.25</v>
      </c>
      <c r="U33" s="203"/>
      <c r="V33" s="145">
        <f t="shared" si="4"/>
        <v>49.5</v>
      </c>
      <c r="W33" s="146">
        <f t="shared" si="17"/>
        <v>208.5</v>
      </c>
      <c r="X33" s="147">
        <f t="shared" si="18"/>
        <v>0.31</v>
      </c>
      <c r="Y33" s="147">
        <f t="shared" si="5"/>
        <v>0.02</v>
      </c>
      <c r="Z33" s="206"/>
      <c r="AA33" s="148">
        <f t="shared" si="6"/>
        <v>2791.5</v>
      </c>
      <c r="AB33" s="147">
        <f t="shared" si="7"/>
        <v>7.0000000000000007E-2</v>
      </c>
      <c r="AC33" s="149">
        <f t="shared" si="8"/>
        <v>1233.0652173913045</v>
      </c>
      <c r="AD33" s="149">
        <f t="shared" si="19"/>
        <v>1531.0652173913045</v>
      </c>
      <c r="AE33" s="150">
        <v>17</v>
      </c>
    </row>
    <row r="34" spans="1:31" ht="15" x14ac:dyDescent="0.25">
      <c r="A34" s="133">
        <v>18</v>
      </c>
      <c r="B34" s="134">
        <f t="shared" si="9"/>
        <v>0</v>
      </c>
      <c r="C34" s="135">
        <f t="shared" si="10"/>
        <v>5</v>
      </c>
      <c r="D34" s="197"/>
      <c r="E34" s="134">
        <f t="shared" si="0"/>
        <v>0</v>
      </c>
      <c r="F34" s="11">
        <f t="shared" si="23"/>
        <v>9</v>
      </c>
      <c r="G34" s="136">
        <f t="shared" si="11"/>
        <v>307</v>
      </c>
      <c r="H34" s="197"/>
      <c r="I34" s="137">
        <f t="shared" si="12"/>
        <v>2.1</v>
      </c>
      <c r="J34" s="12">
        <f t="shared" si="13"/>
        <v>2.1000000000000001E-2</v>
      </c>
      <c r="K34" s="138">
        <f t="shared" si="14"/>
        <v>0.24999999999999992</v>
      </c>
      <c r="L34" s="200"/>
      <c r="M34" s="139">
        <f t="shared" si="1"/>
        <v>12.5</v>
      </c>
      <c r="N34" s="139">
        <f t="shared" si="2"/>
        <v>2.5</v>
      </c>
      <c r="O34" s="140">
        <f t="shared" si="15"/>
        <v>179.7</v>
      </c>
      <c r="P34" s="141">
        <f t="shared" si="3"/>
        <v>5.9899999999999995E-2</v>
      </c>
      <c r="Q34" s="127">
        <f t="shared" si="20"/>
        <v>72</v>
      </c>
      <c r="R34" s="142">
        <f t="shared" si="21"/>
        <v>0.23</v>
      </c>
      <c r="S34" s="143">
        <f t="shared" si="16"/>
        <v>77</v>
      </c>
      <c r="T34" s="144">
        <f t="shared" si="22"/>
        <v>0.25</v>
      </c>
      <c r="U34" s="203"/>
      <c r="V34" s="145">
        <f t="shared" si="4"/>
        <v>53.8</v>
      </c>
      <c r="W34" s="146">
        <f t="shared" si="17"/>
        <v>233.5</v>
      </c>
      <c r="X34" s="147">
        <f t="shared" si="18"/>
        <v>0.3</v>
      </c>
      <c r="Y34" s="147">
        <f t="shared" si="5"/>
        <v>0.02</v>
      </c>
      <c r="Z34" s="206"/>
      <c r="AA34" s="148">
        <f t="shared" si="6"/>
        <v>2766.5</v>
      </c>
      <c r="AB34" s="147">
        <f t="shared" si="7"/>
        <v>0.08</v>
      </c>
      <c r="AC34" s="149">
        <f t="shared" si="8"/>
        <v>1125.9680000000001</v>
      </c>
      <c r="AD34" s="149">
        <f t="shared" si="19"/>
        <v>1432.9680000000001</v>
      </c>
      <c r="AE34" s="150">
        <v>18</v>
      </c>
    </row>
    <row r="35" spans="1:31" ht="15" x14ac:dyDescent="0.25">
      <c r="A35" s="133">
        <v>19</v>
      </c>
      <c r="B35" s="134">
        <f t="shared" si="9"/>
        <v>0</v>
      </c>
      <c r="C35" s="135">
        <f t="shared" si="10"/>
        <v>5</v>
      </c>
      <c r="D35" s="197"/>
      <c r="E35" s="134">
        <f t="shared" si="0"/>
        <v>0</v>
      </c>
      <c r="F35" s="11">
        <f t="shared" si="23"/>
        <v>9</v>
      </c>
      <c r="G35" s="136">
        <f t="shared" si="11"/>
        <v>316</v>
      </c>
      <c r="H35" s="197"/>
      <c r="I35" s="137">
        <f t="shared" si="12"/>
        <v>2.2000000000000002</v>
      </c>
      <c r="J35" s="12">
        <f t="shared" si="13"/>
        <v>2.1999999999999999E-2</v>
      </c>
      <c r="K35" s="138">
        <f t="shared" si="14"/>
        <v>0.26999999999999991</v>
      </c>
      <c r="L35" s="200"/>
      <c r="M35" s="139">
        <f t="shared" si="1"/>
        <v>13.5</v>
      </c>
      <c r="N35" s="139">
        <f t="shared" si="2"/>
        <v>2.7</v>
      </c>
      <c r="O35" s="140">
        <f t="shared" si="15"/>
        <v>202.2</v>
      </c>
      <c r="P35" s="141">
        <f t="shared" si="3"/>
        <v>6.7400000000000002E-2</v>
      </c>
      <c r="Q35" s="127">
        <f t="shared" si="20"/>
        <v>75</v>
      </c>
      <c r="R35" s="142">
        <f t="shared" si="21"/>
        <v>0.24</v>
      </c>
      <c r="S35" s="143">
        <f t="shared" si="16"/>
        <v>80</v>
      </c>
      <c r="T35" s="144">
        <f t="shared" si="22"/>
        <v>0.25</v>
      </c>
      <c r="U35" s="203"/>
      <c r="V35" s="145">
        <f t="shared" si="4"/>
        <v>58.1</v>
      </c>
      <c r="W35" s="146">
        <f t="shared" si="17"/>
        <v>260.3</v>
      </c>
      <c r="X35" s="147">
        <f t="shared" si="18"/>
        <v>0.28999999999999998</v>
      </c>
      <c r="Y35" s="147">
        <f t="shared" si="5"/>
        <v>0.02</v>
      </c>
      <c r="Z35" s="206"/>
      <c r="AA35" s="148">
        <f t="shared" si="6"/>
        <v>2739.7</v>
      </c>
      <c r="AB35" s="147">
        <f t="shared" si="7"/>
        <v>0.09</v>
      </c>
      <c r="AC35" s="149">
        <f t="shared" si="8"/>
        <v>1034.0703703703705</v>
      </c>
      <c r="AD35" s="149">
        <f t="shared" si="19"/>
        <v>1350.0703703703705</v>
      </c>
      <c r="AE35" s="150">
        <v>19</v>
      </c>
    </row>
    <row r="36" spans="1:31" ht="15" customHeight="1" x14ac:dyDescent="0.25">
      <c r="A36" s="133">
        <v>20</v>
      </c>
      <c r="B36" s="166">
        <f t="shared" si="9"/>
        <v>0</v>
      </c>
      <c r="C36" s="44">
        <f t="shared" si="10"/>
        <v>5</v>
      </c>
      <c r="D36" s="197"/>
      <c r="E36" s="166">
        <f t="shared" si="0"/>
        <v>0</v>
      </c>
      <c r="F36" s="44">
        <f t="shared" si="23"/>
        <v>9</v>
      </c>
      <c r="G36" s="44">
        <f t="shared" si="11"/>
        <v>325</v>
      </c>
      <c r="H36" s="197"/>
      <c r="I36" s="167">
        <f t="shared" si="12"/>
        <v>2.2999999999999998</v>
      </c>
      <c r="J36" s="45">
        <f t="shared" si="13"/>
        <v>2.3E-2</v>
      </c>
      <c r="K36" s="45">
        <f t="shared" si="14"/>
        <v>0.28999999999999992</v>
      </c>
      <c r="L36" s="200"/>
      <c r="M36" s="168">
        <f t="shared" si="1"/>
        <v>14.5</v>
      </c>
      <c r="N36" s="168">
        <f t="shared" si="2"/>
        <v>2.9</v>
      </c>
      <c r="O36" s="169">
        <f t="shared" si="15"/>
        <v>226.5</v>
      </c>
      <c r="P36" s="170">
        <f t="shared" si="3"/>
        <v>7.5499999999999998E-2</v>
      </c>
      <c r="Q36" s="171">
        <f t="shared" si="20"/>
        <v>78</v>
      </c>
      <c r="R36" s="172">
        <f t="shared" si="21"/>
        <v>0.24</v>
      </c>
      <c r="S36" s="173">
        <f t="shared" si="16"/>
        <v>83</v>
      </c>
      <c r="T36" s="172">
        <f t="shared" si="22"/>
        <v>0.26</v>
      </c>
      <c r="U36" s="203"/>
      <c r="V36" s="174">
        <f t="shared" si="4"/>
        <v>62.41</v>
      </c>
      <c r="W36" s="175">
        <f t="shared" si="17"/>
        <v>288.91000000000003</v>
      </c>
      <c r="X36" s="176">
        <f t="shared" si="18"/>
        <v>0.28000000000000003</v>
      </c>
      <c r="Y36" s="176">
        <f t="shared" si="5"/>
        <v>0.02</v>
      </c>
      <c r="Z36" s="206"/>
      <c r="AA36" s="177">
        <f t="shared" si="6"/>
        <v>2711.09</v>
      </c>
      <c r="AB36" s="176">
        <f t="shared" si="7"/>
        <v>0.1</v>
      </c>
      <c r="AC36" s="178">
        <f t="shared" si="8"/>
        <v>954.22724137931039</v>
      </c>
      <c r="AD36" s="178">
        <f t="shared" si="19"/>
        <v>1279.2272413793103</v>
      </c>
      <c r="AE36" s="150">
        <v>20</v>
      </c>
    </row>
    <row r="37" spans="1:31" ht="15" customHeight="1" x14ac:dyDescent="0.25">
      <c r="A37" s="133">
        <v>21</v>
      </c>
      <c r="B37" s="134">
        <f t="shared" si="9"/>
        <v>0</v>
      </c>
      <c r="C37" s="135">
        <f t="shared" si="10"/>
        <v>5</v>
      </c>
      <c r="D37" s="197"/>
      <c r="E37" s="134">
        <f t="shared" si="0"/>
        <v>0</v>
      </c>
      <c r="F37" s="11">
        <f t="shared" ref="F37:F100" si="24">F36+E37</f>
        <v>9</v>
      </c>
      <c r="G37" s="136">
        <f t="shared" ref="G37:G100" si="25">G36+F37</f>
        <v>334</v>
      </c>
      <c r="H37" s="197"/>
      <c r="I37" s="137">
        <f t="shared" si="12"/>
        <v>2.4</v>
      </c>
      <c r="J37" s="12">
        <f t="shared" si="13"/>
        <v>2.4E-2</v>
      </c>
      <c r="K37" s="138">
        <f t="shared" ref="K37:K100" si="26">K36+ROUND(J37,2)</f>
        <v>0.30999999999999994</v>
      </c>
      <c r="L37" s="200"/>
      <c r="M37" s="139">
        <f t="shared" si="1"/>
        <v>15.5</v>
      </c>
      <c r="N37" s="139">
        <f t="shared" si="2"/>
        <v>3.1</v>
      </c>
      <c r="O37" s="140">
        <f t="shared" si="15"/>
        <v>252.6</v>
      </c>
      <c r="P37" s="141">
        <f t="shared" si="3"/>
        <v>8.4199999999999997E-2</v>
      </c>
      <c r="Q37" s="127">
        <f t="shared" si="20"/>
        <v>81</v>
      </c>
      <c r="R37" s="142">
        <f t="shared" si="21"/>
        <v>0.24</v>
      </c>
      <c r="S37" s="143">
        <f t="shared" si="16"/>
        <v>86</v>
      </c>
      <c r="T37" s="144">
        <f t="shared" si="22"/>
        <v>0.26</v>
      </c>
      <c r="U37" s="203"/>
      <c r="V37" s="145">
        <f t="shared" si="4"/>
        <v>66.709999999999994</v>
      </c>
      <c r="W37" s="146">
        <f t="shared" ref="W37:W100" si="27">ROUND(O37+V37,2)</f>
        <v>319.31</v>
      </c>
      <c r="X37" s="147">
        <f t="shared" ref="X37:X100" si="28">IF(O37&gt;0,ROUND(V37/O37,2),0)</f>
        <v>0.26</v>
      </c>
      <c r="Y37" s="147">
        <f t="shared" si="5"/>
        <v>0.02</v>
      </c>
      <c r="Z37" s="206"/>
      <c r="AA37" s="148">
        <f t="shared" si="6"/>
        <v>2680.69</v>
      </c>
      <c r="AB37" s="147">
        <f t="shared" si="7"/>
        <v>0.11</v>
      </c>
      <c r="AC37" s="149">
        <f t="shared" si="8"/>
        <v>884.10612903225808</v>
      </c>
      <c r="AD37" s="149">
        <f t="shared" ref="AD37:AD100" si="29">IF(AC37&gt;0,AC37+G37,0)</f>
        <v>1218.1061290322582</v>
      </c>
      <c r="AE37" s="150">
        <v>21</v>
      </c>
    </row>
    <row r="38" spans="1:31" ht="15" x14ac:dyDescent="0.25">
      <c r="A38" s="133">
        <v>22</v>
      </c>
      <c r="B38" s="134">
        <f t="shared" si="9"/>
        <v>0</v>
      </c>
      <c r="C38" s="135">
        <f t="shared" si="10"/>
        <v>5</v>
      </c>
      <c r="D38" s="197"/>
      <c r="E38" s="134">
        <f t="shared" si="0"/>
        <v>0</v>
      </c>
      <c r="F38" s="11">
        <f t="shared" si="24"/>
        <v>9</v>
      </c>
      <c r="G38" s="136">
        <f t="shared" si="25"/>
        <v>343</v>
      </c>
      <c r="H38" s="197"/>
      <c r="I38" s="137">
        <f t="shared" si="12"/>
        <v>2.5</v>
      </c>
      <c r="J38" s="12">
        <f t="shared" si="13"/>
        <v>2.5000000000000001E-2</v>
      </c>
      <c r="K38" s="138">
        <f t="shared" si="26"/>
        <v>0.33999999999999997</v>
      </c>
      <c r="L38" s="200"/>
      <c r="M38" s="139">
        <f t="shared" si="1"/>
        <v>17</v>
      </c>
      <c r="N38" s="139">
        <f t="shared" si="2"/>
        <v>3.4</v>
      </c>
      <c r="O38" s="140">
        <f t="shared" si="15"/>
        <v>280.5</v>
      </c>
      <c r="P38" s="141">
        <f t="shared" si="3"/>
        <v>9.35E-2</v>
      </c>
      <c r="Q38" s="127">
        <f t="shared" si="20"/>
        <v>83</v>
      </c>
      <c r="R38" s="142">
        <f t="shared" si="21"/>
        <v>0.24</v>
      </c>
      <c r="S38" s="143">
        <f t="shared" si="16"/>
        <v>88</v>
      </c>
      <c r="T38" s="144">
        <f t="shared" si="22"/>
        <v>0.26</v>
      </c>
      <c r="U38" s="203"/>
      <c r="V38" s="145">
        <f t="shared" si="4"/>
        <v>73.17</v>
      </c>
      <c r="W38" s="146">
        <f t="shared" si="27"/>
        <v>353.67</v>
      </c>
      <c r="X38" s="147">
        <f t="shared" si="28"/>
        <v>0.26</v>
      </c>
      <c r="Y38" s="147">
        <f t="shared" si="5"/>
        <v>0.02</v>
      </c>
      <c r="Z38" s="206"/>
      <c r="AA38" s="148">
        <f t="shared" si="6"/>
        <v>2646.33</v>
      </c>
      <c r="AB38" s="147">
        <f t="shared" si="7"/>
        <v>0.12</v>
      </c>
      <c r="AC38" s="149">
        <f t="shared" si="8"/>
        <v>797.70088235294122</v>
      </c>
      <c r="AD38" s="149">
        <f t="shared" si="29"/>
        <v>1140.7008823529413</v>
      </c>
      <c r="AE38" s="150">
        <v>22</v>
      </c>
    </row>
    <row r="39" spans="1:31" ht="15" x14ac:dyDescent="0.25">
      <c r="A39" s="133">
        <v>23</v>
      </c>
      <c r="B39" s="134">
        <f t="shared" si="9"/>
        <v>0</v>
      </c>
      <c r="C39" s="135">
        <f t="shared" si="10"/>
        <v>5</v>
      </c>
      <c r="D39" s="197"/>
      <c r="E39" s="134">
        <f t="shared" si="0"/>
        <v>0</v>
      </c>
      <c r="F39" s="11">
        <f t="shared" si="24"/>
        <v>9</v>
      </c>
      <c r="G39" s="136">
        <f t="shared" si="25"/>
        <v>352</v>
      </c>
      <c r="H39" s="197"/>
      <c r="I39" s="137">
        <f t="shared" si="12"/>
        <v>2.6</v>
      </c>
      <c r="J39" s="12">
        <f t="shared" si="13"/>
        <v>2.5999999999999999E-2</v>
      </c>
      <c r="K39" s="138">
        <f t="shared" si="26"/>
        <v>0.37</v>
      </c>
      <c r="L39" s="200"/>
      <c r="M39" s="139">
        <f t="shared" si="1"/>
        <v>18.5</v>
      </c>
      <c r="N39" s="139">
        <f t="shared" si="2"/>
        <v>3.7</v>
      </c>
      <c r="O39" s="140">
        <f t="shared" si="15"/>
        <v>311.10000000000002</v>
      </c>
      <c r="P39" s="141">
        <f t="shared" si="3"/>
        <v>0.10370000000000001</v>
      </c>
      <c r="Q39" s="127">
        <f t="shared" si="20"/>
        <v>84</v>
      </c>
      <c r="R39" s="142">
        <f t="shared" si="21"/>
        <v>0.24</v>
      </c>
      <c r="S39" s="143">
        <f t="shared" si="16"/>
        <v>89</v>
      </c>
      <c r="T39" s="144">
        <f t="shared" si="22"/>
        <v>0.25</v>
      </c>
      <c r="U39" s="203"/>
      <c r="V39" s="145">
        <f t="shared" si="4"/>
        <v>79.62</v>
      </c>
      <c r="W39" s="146">
        <f t="shared" si="27"/>
        <v>390.72</v>
      </c>
      <c r="X39" s="147">
        <f t="shared" si="28"/>
        <v>0.26</v>
      </c>
      <c r="Y39" s="147">
        <f t="shared" si="5"/>
        <v>0.03</v>
      </c>
      <c r="Z39" s="206"/>
      <c r="AA39" s="148">
        <f t="shared" si="6"/>
        <v>2609.2800000000002</v>
      </c>
      <c r="AB39" s="147">
        <f t="shared" si="7"/>
        <v>0.13</v>
      </c>
      <c r="AC39" s="149">
        <f t="shared" si="8"/>
        <v>724.57783783783782</v>
      </c>
      <c r="AD39" s="149">
        <f t="shared" si="29"/>
        <v>1076.5778378378377</v>
      </c>
      <c r="AE39" s="150">
        <v>23</v>
      </c>
    </row>
    <row r="40" spans="1:31" ht="15" x14ac:dyDescent="0.25">
      <c r="A40" s="133">
        <v>24</v>
      </c>
      <c r="B40" s="134">
        <f t="shared" si="9"/>
        <v>0</v>
      </c>
      <c r="C40" s="135">
        <f t="shared" si="10"/>
        <v>5</v>
      </c>
      <c r="D40" s="197"/>
      <c r="E40" s="134">
        <f t="shared" si="0"/>
        <v>0</v>
      </c>
      <c r="F40" s="11">
        <f t="shared" si="24"/>
        <v>9</v>
      </c>
      <c r="G40" s="136">
        <f t="shared" si="25"/>
        <v>361</v>
      </c>
      <c r="H40" s="197"/>
      <c r="I40" s="137">
        <f t="shared" si="12"/>
        <v>2.7</v>
      </c>
      <c r="J40" s="12">
        <f t="shared" si="13"/>
        <v>2.7E-2</v>
      </c>
      <c r="K40" s="138">
        <f t="shared" si="26"/>
        <v>0.4</v>
      </c>
      <c r="L40" s="200"/>
      <c r="M40" s="139">
        <f t="shared" si="1"/>
        <v>20</v>
      </c>
      <c r="N40" s="139">
        <f t="shared" si="2"/>
        <v>4</v>
      </c>
      <c r="O40" s="140">
        <f t="shared" si="15"/>
        <v>344.4</v>
      </c>
      <c r="P40" s="141">
        <f t="shared" si="3"/>
        <v>0.1148</v>
      </c>
      <c r="Q40" s="127">
        <f t="shared" si="20"/>
        <v>86</v>
      </c>
      <c r="R40" s="142">
        <f t="shared" si="21"/>
        <v>0.24</v>
      </c>
      <c r="S40" s="143">
        <f t="shared" si="16"/>
        <v>91</v>
      </c>
      <c r="T40" s="144">
        <f t="shared" si="22"/>
        <v>0.25</v>
      </c>
      <c r="U40" s="203"/>
      <c r="V40" s="145">
        <f t="shared" si="4"/>
        <v>86.08</v>
      </c>
      <c r="W40" s="146">
        <f t="shared" si="27"/>
        <v>430.48</v>
      </c>
      <c r="X40" s="147">
        <f t="shared" si="28"/>
        <v>0.25</v>
      </c>
      <c r="Y40" s="147">
        <f t="shared" si="5"/>
        <v>0.03</v>
      </c>
      <c r="Z40" s="206"/>
      <c r="AA40" s="148">
        <f t="shared" si="6"/>
        <v>2569.52</v>
      </c>
      <c r="AB40" s="147">
        <f t="shared" si="7"/>
        <v>0.14000000000000001</v>
      </c>
      <c r="AC40" s="149">
        <f t="shared" si="8"/>
        <v>661.74799999999993</v>
      </c>
      <c r="AD40" s="149">
        <f t="shared" si="29"/>
        <v>1022.7479999999999</v>
      </c>
      <c r="AE40" s="150">
        <v>24</v>
      </c>
    </row>
    <row r="41" spans="1:31" ht="15" x14ac:dyDescent="0.25">
      <c r="A41" s="133">
        <v>25</v>
      </c>
      <c r="B41" s="166">
        <f t="shared" si="9"/>
        <v>0</v>
      </c>
      <c r="C41" s="44">
        <f t="shared" si="10"/>
        <v>5</v>
      </c>
      <c r="D41" s="197"/>
      <c r="E41" s="166">
        <f t="shared" si="0"/>
        <v>0</v>
      </c>
      <c r="F41" s="44">
        <f t="shared" si="24"/>
        <v>9</v>
      </c>
      <c r="G41" s="44">
        <f t="shared" si="25"/>
        <v>370</v>
      </c>
      <c r="H41" s="197"/>
      <c r="I41" s="167">
        <f t="shared" si="12"/>
        <v>2.8</v>
      </c>
      <c r="J41" s="45">
        <f t="shared" si="13"/>
        <v>2.8000000000000001E-2</v>
      </c>
      <c r="K41" s="45">
        <f t="shared" si="26"/>
        <v>0.43000000000000005</v>
      </c>
      <c r="L41" s="200"/>
      <c r="M41" s="168">
        <f t="shared" si="1"/>
        <v>21.5</v>
      </c>
      <c r="N41" s="168">
        <f t="shared" si="2"/>
        <v>4.3</v>
      </c>
      <c r="O41" s="169">
        <f t="shared" si="15"/>
        <v>380.4</v>
      </c>
      <c r="P41" s="170">
        <f t="shared" si="3"/>
        <v>0.1268</v>
      </c>
      <c r="Q41" s="171">
        <f t="shared" si="20"/>
        <v>88</v>
      </c>
      <c r="R41" s="172">
        <f t="shared" si="21"/>
        <v>0.24</v>
      </c>
      <c r="S41" s="173">
        <f t="shared" si="16"/>
        <v>93</v>
      </c>
      <c r="T41" s="172">
        <f t="shared" si="22"/>
        <v>0.25</v>
      </c>
      <c r="U41" s="203"/>
      <c r="V41" s="174">
        <f t="shared" si="4"/>
        <v>92.54</v>
      </c>
      <c r="W41" s="175">
        <f t="shared" si="27"/>
        <v>472.94</v>
      </c>
      <c r="X41" s="176">
        <f t="shared" si="28"/>
        <v>0.24</v>
      </c>
      <c r="Y41" s="176">
        <f t="shared" si="5"/>
        <v>0.03</v>
      </c>
      <c r="Z41" s="206"/>
      <c r="AA41" s="177">
        <f t="shared" si="6"/>
        <v>2527.06</v>
      </c>
      <c r="AB41" s="176">
        <f t="shared" si="7"/>
        <v>0.16</v>
      </c>
      <c r="AC41" s="178">
        <f t="shared" si="8"/>
        <v>607.05720930232565</v>
      </c>
      <c r="AD41" s="178">
        <f t="shared" si="29"/>
        <v>977.05720930232565</v>
      </c>
      <c r="AE41" s="150">
        <v>25</v>
      </c>
    </row>
    <row r="42" spans="1:31" ht="15" x14ac:dyDescent="0.25">
      <c r="A42" s="133">
        <v>26</v>
      </c>
      <c r="B42" s="134">
        <f t="shared" si="9"/>
        <v>0</v>
      </c>
      <c r="C42" s="135">
        <f t="shared" si="10"/>
        <v>5</v>
      </c>
      <c r="D42" s="197"/>
      <c r="E42" s="134">
        <f t="shared" si="0"/>
        <v>0</v>
      </c>
      <c r="F42" s="11">
        <f t="shared" si="24"/>
        <v>9</v>
      </c>
      <c r="G42" s="136">
        <f t="shared" si="25"/>
        <v>379</v>
      </c>
      <c r="H42" s="197"/>
      <c r="I42" s="137">
        <f t="shared" si="12"/>
        <v>2.9</v>
      </c>
      <c r="J42" s="12">
        <f t="shared" si="13"/>
        <v>2.9000000000000001E-2</v>
      </c>
      <c r="K42" s="138">
        <f t="shared" si="26"/>
        <v>0.46000000000000008</v>
      </c>
      <c r="L42" s="200"/>
      <c r="M42" s="139">
        <f t="shared" si="1"/>
        <v>23</v>
      </c>
      <c r="N42" s="139">
        <f t="shared" si="2"/>
        <v>4.5999999999999996</v>
      </c>
      <c r="O42" s="140">
        <f t="shared" si="15"/>
        <v>419.1</v>
      </c>
      <c r="P42" s="141">
        <f t="shared" si="3"/>
        <v>0.13970000000000002</v>
      </c>
      <c r="Q42" s="127">
        <f t="shared" si="20"/>
        <v>91</v>
      </c>
      <c r="R42" s="142">
        <f t="shared" si="21"/>
        <v>0.24</v>
      </c>
      <c r="S42" s="143">
        <f t="shared" si="16"/>
        <v>96</v>
      </c>
      <c r="T42" s="144">
        <f t="shared" si="22"/>
        <v>0.25</v>
      </c>
      <c r="U42" s="203"/>
      <c r="V42" s="145">
        <f t="shared" si="4"/>
        <v>98.99</v>
      </c>
      <c r="W42" s="146">
        <f t="shared" si="27"/>
        <v>518.09</v>
      </c>
      <c r="X42" s="147">
        <f t="shared" si="28"/>
        <v>0.24</v>
      </c>
      <c r="Y42" s="147">
        <f t="shared" si="5"/>
        <v>0.03</v>
      </c>
      <c r="Z42" s="206"/>
      <c r="AA42" s="148">
        <f t="shared" si="6"/>
        <v>2481.91</v>
      </c>
      <c r="AB42" s="147">
        <f t="shared" si="7"/>
        <v>0.17</v>
      </c>
      <c r="AC42" s="149">
        <f t="shared" si="8"/>
        <v>558.91326086956531</v>
      </c>
      <c r="AD42" s="149">
        <f t="shared" si="29"/>
        <v>937.91326086956531</v>
      </c>
      <c r="AE42" s="150">
        <v>26</v>
      </c>
    </row>
    <row r="43" spans="1:31" ht="15" x14ac:dyDescent="0.25">
      <c r="A43" s="133">
        <v>27</v>
      </c>
      <c r="B43" s="134">
        <f t="shared" si="9"/>
        <v>0</v>
      </c>
      <c r="C43" s="135">
        <f t="shared" si="10"/>
        <v>5</v>
      </c>
      <c r="D43" s="197"/>
      <c r="E43" s="134">
        <f t="shared" si="0"/>
        <v>0</v>
      </c>
      <c r="F43" s="11">
        <f t="shared" si="24"/>
        <v>9</v>
      </c>
      <c r="G43" s="136">
        <f t="shared" si="25"/>
        <v>388</v>
      </c>
      <c r="H43" s="197"/>
      <c r="I43" s="137">
        <f t="shared" si="12"/>
        <v>3</v>
      </c>
      <c r="J43" s="12">
        <f t="shared" si="13"/>
        <v>0.03</v>
      </c>
      <c r="K43" s="138">
        <f t="shared" si="26"/>
        <v>0.4900000000000001</v>
      </c>
      <c r="L43" s="200"/>
      <c r="M43" s="139">
        <f t="shared" si="1"/>
        <v>24.5</v>
      </c>
      <c r="N43" s="139">
        <f t="shared" si="2"/>
        <v>4.9000000000000004</v>
      </c>
      <c r="O43" s="140">
        <f t="shared" si="15"/>
        <v>460.5</v>
      </c>
      <c r="P43" s="141">
        <f t="shared" si="3"/>
        <v>0.1535</v>
      </c>
      <c r="Q43" s="127">
        <f t="shared" si="20"/>
        <v>94</v>
      </c>
      <c r="R43" s="142">
        <f t="shared" si="21"/>
        <v>0.24</v>
      </c>
      <c r="S43" s="143">
        <f t="shared" si="16"/>
        <v>99</v>
      </c>
      <c r="T43" s="144">
        <f t="shared" si="22"/>
        <v>0.26</v>
      </c>
      <c r="U43" s="203"/>
      <c r="V43" s="145">
        <f t="shared" si="4"/>
        <v>105.45</v>
      </c>
      <c r="W43" s="146">
        <f t="shared" si="27"/>
        <v>565.95000000000005</v>
      </c>
      <c r="X43" s="147">
        <f t="shared" si="28"/>
        <v>0.23</v>
      </c>
      <c r="Y43" s="147">
        <f t="shared" si="5"/>
        <v>0.04</v>
      </c>
      <c r="Z43" s="206"/>
      <c r="AA43" s="148">
        <f t="shared" si="6"/>
        <v>2434.0500000000002</v>
      </c>
      <c r="AB43" s="147">
        <f t="shared" si="7"/>
        <v>0.19</v>
      </c>
      <c r="AC43" s="149">
        <f t="shared" si="8"/>
        <v>516.11326530612234</v>
      </c>
      <c r="AD43" s="149">
        <f t="shared" si="29"/>
        <v>904.11326530612234</v>
      </c>
      <c r="AE43" s="150">
        <v>27</v>
      </c>
    </row>
    <row r="44" spans="1:31" ht="15" x14ac:dyDescent="0.25">
      <c r="A44" s="133">
        <v>28</v>
      </c>
      <c r="B44" s="134">
        <f t="shared" si="9"/>
        <v>0</v>
      </c>
      <c r="C44" s="135">
        <f t="shared" si="10"/>
        <v>5</v>
      </c>
      <c r="D44" s="197"/>
      <c r="E44" s="134">
        <f t="shared" si="0"/>
        <v>0</v>
      </c>
      <c r="F44" s="11">
        <f t="shared" si="24"/>
        <v>9</v>
      </c>
      <c r="G44" s="136">
        <f t="shared" si="25"/>
        <v>397</v>
      </c>
      <c r="H44" s="197"/>
      <c r="I44" s="137">
        <f t="shared" si="12"/>
        <v>3.1</v>
      </c>
      <c r="J44" s="12">
        <f t="shared" si="13"/>
        <v>3.1E-2</v>
      </c>
      <c r="K44" s="138">
        <f t="shared" si="26"/>
        <v>0.52000000000000013</v>
      </c>
      <c r="L44" s="200"/>
      <c r="M44" s="179">
        <f t="shared" si="1"/>
        <v>26</v>
      </c>
      <c r="N44" s="139">
        <f t="shared" si="2"/>
        <v>5.2</v>
      </c>
      <c r="O44" s="140">
        <f t="shared" si="15"/>
        <v>504.6</v>
      </c>
      <c r="P44" s="141">
        <f t="shared" si="3"/>
        <v>0.16820000000000002</v>
      </c>
      <c r="Q44" s="127">
        <f t="shared" si="20"/>
        <v>97</v>
      </c>
      <c r="R44" s="142">
        <f t="shared" si="21"/>
        <v>0.24</v>
      </c>
      <c r="S44" s="143">
        <f t="shared" si="16"/>
        <v>102</v>
      </c>
      <c r="T44" s="144">
        <f t="shared" si="22"/>
        <v>0.26</v>
      </c>
      <c r="U44" s="203"/>
      <c r="V44" s="145">
        <f t="shared" si="4"/>
        <v>111.9</v>
      </c>
      <c r="W44" s="146">
        <f t="shared" si="27"/>
        <v>616.5</v>
      </c>
      <c r="X44" s="147">
        <f t="shared" si="28"/>
        <v>0.22</v>
      </c>
      <c r="Y44" s="147">
        <f t="shared" si="5"/>
        <v>0.04</v>
      </c>
      <c r="Z44" s="206"/>
      <c r="AA44" s="148">
        <f t="shared" si="6"/>
        <v>2383.5</v>
      </c>
      <c r="AB44" s="147">
        <f t="shared" si="7"/>
        <v>0.21</v>
      </c>
      <c r="AC44" s="149">
        <f t="shared" si="8"/>
        <v>477.73269230769228</v>
      </c>
      <c r="AD44" s="149">
        <f t="shared" si="29"/>
        <v>874.73269230769233</v>
      </c>
      <c r="AE44" s="150">
        <v>28</v>
      </c>
    </row>
    <row r="45" spans="1:31" ht="15" x14ac:dyDescent="0.25">
      <c r="A45" s="133">
        <v>29</v>
      </c>
      <c r="B45" s="134">
        <f t="shared" si="9"/>
        <v>0</v>
      </c>
      <c r="C45" s="135">
        <f t="shared" si="10"/>
        <v>5</v>
      </c>
      <c r="D45" s="197"/>
      <c r="E45" s="134">
        <f t="shared" si="0"/>
        <v>0</v>
      </c>
      <c r="F45" s="11">
        <f t="shared" si="24"/>
        <v>9</v>
      </c>
      <c r="G45" s="136">
        <f t="shared" si="25"/>
        <v>406</v>
      </c>
      <c r="H45" s="197"/>
      <c r="I45" s="137">
        <f t="shared" si="12"/>
        <v>3.2</v>
      </c>
      <c r="J45" s="12">
        <f t="shared" si="13"/>
        <v>3.2000000000000001E-2</v>
      </c>
      <c r="K45" s="138">
        <f t="shared" si="26"/>
        <v>0.55000000000000016</v>
      </c>
      <c r="L45" s="200"/>
      <c r="M45" s="139">
        <f t="shared" si="1"/>
        <v>27.5</v>
      </c>
      <c r="N45" s="139">
        <f t="shared" si="2"/>
        <v>5.5</v>
      </c>
      <c r="O45" s="140">
        <f t="shared" si="15"/>
        <v>551.4</v>
      </c>
      <c r="P45" s="141">
        <f t="shared" si="3"/>
        <v>0.18379999999999999</v>
      </c>
      <c r="Q45" s="127">
        <f t="shared" si="20"/>
        <v>100</v>
      </c>
      <c r="R45" s="142">
        <f t="shared" si="21"/>
        <v>0.25</v>
      </c>
      <c r="S45" s="143">
        <f t="shared" si="16"/>
        <v>105</v>
      </c>
      <c r="T45" s="144">
        <f t="shared" si="22"/>
        <v>0.26</v>
      </c>
      <c r="U45" s="203"/>
      <c r="V45" s="145">
        <f t="shared" si="4"/>
        <v>118.36</v>
      </c>
      <c r="W45" s="146">
        <f t="shared" si="27"/>
        <v>669.76</v>
      </c>
      <c r="X45" s="147">
        <f t="shared" si="28"/>
        <v>0.21</v>
      </c>
      <c r="Y45" s="147">
        <f t="shared" si="5"/>
        <v>0.04</v>
      </c>
      <c r="Z45" s="206"/>
      <c r="AA45" s="148">
        <f t="shared" si="6"/>
        <v>2330.2399999999998</v>
      </c>
      <c r="AB45" s="147">
        <f t="shared" si="7"/>
        <v>0.22</v>
      </c>
      <c r="AC45" s="149">
        <f t="shared" si="8"/>
        <v>443.048</v>
      </c>
      <c r="AD45" s="149">
        <f t="shared" si="29"/>
        <v>849.048</v>
      </c>
      <c r="AE45" s="150">
        <v>29</v>
      </c>
    </row>
    <row r="46" spans="1:31" ht="15" x14ac:dyDescent="0.25">
      <c r="A46" s="133">
        <v>30</v>
      </c>
      <c r="B46" s="166">
        <f t="shared" si="9"/>
        <v>0</v>
      </c>
      <c r="C46" s="44">
        <f t="shared" si="10"/>
        <v>5</v>
      </c>
      <c r="D46" s="197"/>
      <c r="E46" s="166">
        <f t="shared" si="0"/>
        <v>0</v>
      </c>
      <c r="F46" s="44">
        <f t="shared" si="24"/>
        <v>9</v>
      </c>
      <c r="G46" s="44">
        <f t="shared" si="25"/>
        <v>415</v>
      </c>
      <c r="H46" s="197"/>
      <c r="I46" s="167">
        <f t="shared" si="12"/>
        <v>3.3</v>
      </c>
      <c r="J46" s="45">
        <f t="shared" si="13"/>
        <v>3.3000000000000002E-2</v>
      </c>
      <c r="K46" s="45">
        <f t="shared" si="26"/>
        <v>0.58000000000000018</v>
      </c>
      <c r="L46" s="200"/>
      <c r="M46" s="168">
        <f t="shared" si="1"/>
        <v>29</v>
      </c>
      <c r="N46" s="168">
        <f t="shared" si="2"/>
        <v>5.8</v>
      </c>
      <c r="O46" s="169">
        <f t="shared" si="15"/>
        <v>600.9</v>
      </c>
      <c r="P46" s="170">
        <f t="shared" si="3"/>
        <v>0.20030000000000001</v>
      </c>
      <c r="Q46" s="171">
        <f t="shared" si="20"/>
        <v>104</v>
      </c>
      <c r="R46" s="172">
        <f t="shared" si="21"/>
        <v>0.25</v>
      </c>
      <c r="S46" s="173">
        <f t="shared" si="16"/>
        <v>109</v>
      </c>
      <c r="T46" s="172">
        <f t="shared" si="22"/>
        <v>0.26</v>
      </c>
      <c r="U46" s="203"/>
      <c r="V46" s="174">
        <f t="shared" si="4"/>
        <v>124.82</v>
      </c>
      <c r="W46" s="175">
        <f t="shared" si="27"/>
        <v>725.72</v>
      </c>
      <c r="X46" s="176">
        <f t="shared" si="28"/>
        <v>0.21</v>
      </c>
      <c r="Y46" s="176">
        <f t="shared" si="5"/>
        <v>0.04</v>
      </c>
      <c r="Z46" s="206"/>
      <c r="AA46" s="177">
        <f t="shared" si="6"/>
        <v>2274.2800000000002</v>
      </c>
      <c r="AB46" s="176">
        <f t="shared" si="7"/>
        <v>0.24</v>
      </c>
      <c r="AC46" s="178">
        <f t="shared" si="8"/>
        <v>411.4858620689655</v>
      </c>
      <c r="AD46" s="178">
        <f t="shared" si="29"/>
        <v>826.4858620689655</v>
      </c>
      <c r="AE46" s="150">
        <v>30</v>
      </c>
    </row>
    <row r="47" spans="1:31" ht="15" x14ac:dyDescent="0.25">
      <c r="A47" s="133">
        <v>31</v>
      </c>
      <c r="B47" s="134">
        <f t="shared" si="9"/>
        <v>0</v>
      </c>
      <c r="C47" s="135">
        <f t="shared" si="10"/>
        <v>5</v>
      </c>
      <c r="D47" s="197"/>
      <c r="E47" s="134">
        <f t="shared" si="0"/>
        <v>0</v>
      </c>
      <c r="F47" s="11">
        <f t="shared" si="24"/>
        <v>9</v>
      </c>
      <c r="G47" s="135">
        <f t="shared" si="25"/>
        <v>424</v>
      </c>
      <c r="H47" s="197"/>
      <c r="I47" s="137">
        <f t="shared" si="12"/>
        <v>3.4</v>
      </c>
      <c r="J47" s="12">
        <f t="shared" si="13"/>
        <v>3.4000000000000002E-2</v>
      </c>
      <c r="K47" s="138">
        <f t="shared" si="26"/>
        <v>0.61000000000000021</v>
      </c>
      <c r="L47" s="200"/>
      <c r="M47" s="139">
        <f t="shared" si="1"/>
        <v>30.5</v>
      </c>
      <c r="N47" s="139">
        <f t="shared" si="2"/>
        <v>6.1</v>
      </c>
      <c r="O47" s="140">
        <f t="shared" si="15"/>
        <v>653.1</v>
      </c>
      <c r="P47" s="141">
        <f t="shared" si="3"/>
        <v>0.2177</v>
      </c>
      <c r="Q47" s="127">
        <f t="shared" si="20"/>
        <v>107</v>
      </c>
      <c r="R47" s="142">
        <f t="shared" si="21"/>
        <v>0.25</v>
      </c>
      <c r="S47" s="143">
        <f t="shared" si="16"/>
        <v>112</v>
      </c>
      <c r="T47" s="144">
        <f t="shared" si="22"/>
        <v>0.26</v>
      </c>
      <c r="U47" s="203"/>
      <c r="V47" s="145">
        <f t="shared" si="4"/>
        <v>131.27000000000001</v>
      </c>
      <c r="W47" s="146">
        <f t="shared" si="27"/>
        <v>784.37</v>
      </c>
      <c r="X47" s="147">
        <f t="shared" si="28"/>
        <v>0.2</v>
      </c>
      <c r="Y47" s="147">
        <f t="shared" si="5"/>
        <v>0.04</v>
      </c>
      <c r="Z47" s="206"/>
      <c r="AA47" s="148">
        <f t="shared" si="6"/>
        <v>2215.63</v>
      </c>
      <c r="AB47" s="147">
        <f t="shared" si="7"/>
        <v>0.26</v>
      </c>
      <c r="AC47" s="149">
        <f t="shared" si="8"/>
        <v>382.58573770491807</v>
      </c>
      <c r="AD47" s="149">
        <f t="shared" si="29"/>
        <v>806.58573770491807</v>
      </c>
      <c r="AE47" s="150">
        <v>31</v>
      </c>
    </row>
    <row r="48" spans="1:31" ht="15" x14ac:dyDescent="0.25">
      <c r="A48" s="133">
        <v>32</v>
      </c>
      <c r="B48" s="134">
        <f t="shared" si="9"/>
        <v>0</v>
      </c>
      <c r="C48" s="135">
        <f t="shared" si="10"/>
        <v>5</v>
      </c>
      <c r="D48" s="197"/>
      <c r="E48" s="134">
        <f t="shared" si="0"/>
        <v>0</v>
      </c>
      <c r="F48" s="11">
        <f t="shared" si="24"/>
        <v>9</v>
      </c>
      <c r="G48" s="136">
        <f t="shared" si="25"/>
        <v>433</v>
      </c>
      <c r="H48" s="197"/>
      <c r="I48" s="137">
        <f t="shared" si="12"/>
        <v>3.5</v>
      </c>
      <c r="J48" s="12">
        <f t="shared" si="13"/>
        <v>3.5000000000000003E-2</v>
      </c>
      <c r="K48" s="138">
        <f t="shared" si="26"/>
        <v>0.65000000000000024</v>
      </c>
      <c r="L48" s="200"/>
      <c r="M48" s="139">
        <f t="shared" si="1"/>
        <v>32.5</v>
      </c>
      <c r="N48" s="139">
        <f t="shared" si="2"/>
        <v>6.5</v>
      </c>
      <c r="O48" s="140">
        <f t="shared" si="15"/>
        <v>708</v>
      </c>
      <c r="P48" s="141">
        <f t="shared" si="3"/>
        <v>0.23599999999999999</v>
      </c>
      <c r="Q48" s="127">
        <f t="shared" si="20"/>
        <v>109</v>
      </c>
      <c r="R48" s="142">
        <f t="shared" si="21"/>
        <v>0.25</v>
      </c>
      <c r="S48" s="143">
        <f t="shared" si="16"/>
        <v>114</v>
      </c>
      <c r="T48" s="144">
        <f t="shared" si="22"/>
        <v>0.26</v>
      </c>
      <c r="U48" s="203"/>
      <c r="V48" s="145">
        <f t="shared" si="4"/>
        <v>139.88</v>
      </c>
      <c r="W48" s="146">
        <f t="shared" si="27"/>
        <v>847.88</v>
      </c>
      <c r="X48" s="147">
        <f t="shared" si="28"/>
        <v>0.2</v>
      </c>
      <c r="Y48" s="147">
        <f t="shared" si="5"/>
        <v>0.05</v>
      </c>
      <c r="Z48" s="206"/>
      <c r="AA48" s="148">
        <f t="shared" si="6"/>
        <v>2152.12</v>
      </c>
      <c r="AB48" s="147">
        <f t="shared" si="7"/>
        <v>0.28000000000000003</v>
      </c>
      <c r="AC48" s="149">
        <f t="shared" si="8"/>
        <v>350.46338461538465</v>
      </c>
      <c r="AD48" s="149">
        <f t="shared" si="29"/>
        <v>783.46338461538471</v>
      </c>
      <c r="AE48" s="150">
        <v>32</v>
      </c>
    </row>
    <row r="49" spans="1:31" ht="15" x14ac:dyDescent="0.25">
      <c r="A49" s="133">
        <v>33</v>
      </c>
      <c r="B49" s="134">
        <f t="shared" si="9"/>
        <v>0</v>
      </c>
      <c r="C49" s="135">
        <f t="shared" si="10"/>
        <v>5</v>
      </c>
      <c r="D49" s="197"/>
      <c r="E49" s="134">
        <f t="shared" ref="E49:E80" si="30">IF(OR($A49&lt;2,AND(G$13&gt;0,$A49&gt;G$13)),0,IF(AND($A49&gt;=G$10,G$10&gt;0),G$11,IF(AND($A49&gt;=G$7,G$7&gt;0),G$8,0)))</f>
        <v>0</v>
      </c>
      <c r="F49" s="11">
        <f t="shared" si="24"/>
        <v>9</v>
      </c>
      <c r="G49" s="136">
        <f t="shared" si="25"/>
        <v>442</v>
      </c>
      <c r="H49" s="197"/>
      <c r="I49" s="137">
        <f t="shared" si="12"/>
        <v>3.6</v>
      </c>
      <c r="J49" s="12">
        <f t="shared" si="13"/>
        <v>3.5999999999999997E-2</v>
      </c>
      <c r="K49" s="138">
        <f t="shared" si="26"/>
        <v>0.69000000000000028</v>
      </c>
      <c r="L49" s="200"/>
      <c r="M49" s="139">
        <f t="shared" ref="M49:M80" si="31">ROUND(C49*N49-K49*$O$6,2)</f>
        <v>34.5</v>
      </c>
      <c r="N49" s="139">
        <f t="shared" ref="N49:N80" si="32">ROUND(ROUND(K49,2)*$O$4,2)</f>
        <v>6.9</v>
      </c>
      <c r="O49" s="140">
        <f t="shared" si="15"/>
        <v>766.5</v>
      </c>
      <c r="P49" s="141">
        <f t="shared" ref="P49:P80" si="33">O49/$O$10</f>
        <v>0.2555</v>
      </c>
      <c r="Q49" s="127">
        <f t="shared" si="20"/>
        <v>111</v>
      </c>
      <c r="R49" s="142">
        <f t="shared" si="21"/>
        <v>0.25</v>
      </c>
      <c r="S49" s="143">
        <f t="shared" si="16"/>
        <v>116</v>
      </c>
      <c r="T49" s="144">
        <f t="shared" si="22"/>
        <v>0.26</v>
      </c>
      <c r="U49" s="203"/>
      <c r="V49" s="145">
        <f t="shared" ref="V49:V80" si="34">ROUND(K49*$O$8,2)</f>
        <v>148.49</v>
      </c>
      <c r="W49" s="146">
        <f t="shared" si="27"/>
        <v>914.99</v>
      </c>
      <c r="X49" s="147">
        <f t="shared" si="28"/>
        <v>0.19</v>
      </c>
      <c r="Y49" s="147">
        <f t="shared" ref="Y49:Y80" si="35">IF($O$10&gt;0,ROUND(V49/$O$10,2),0)</f>
        <v>0.05</v>
      </c>
      <c r="Z49" s="206"/>
      <c r="AA49" s="148">
        <f t="shared" ref="AA49:AA80" si="36">IF($O$10&gt;0,ROUND($O$10-W49,2),0)</f>
        <v>2085.0100000000002</v>
      </c>
      <c r="AB49" s="147">
        <f t="shared" ref="AB49:AB80" si="37">IF($O$10&gt;0,ROUND(W49/$O$10,2),0)</f>
        <v>0.3</v>
      </c>
      <c r="AC49" s="149">
        <f t="shared" ref="AC49:AC80" si="38">IF(AND(AA49&gt;0,$O$4&gt;0),($O$10-O49-V49*$O$9)/N49,0)</f>
        <v>321.54362318840577</v>
      </c>
      <c r="AD49" s="149">
        <f t="shared" si="29"/>
        <v>763.54362318840572</v>
      </c>
      <c r="AE49" s="150">
        <v>33</v>
      </c>
    </row>
    <row r="50" spans="1:31" ht="15" x14ac:dyDescent="0.25">
      <c r="A50" s="133">
        <v>34</v>
      </c>
      <c r="B50" s="134">
        <f t="shared" ref="B50:B81" si="39">IF(AND($A50&gt;=C$10,C$10&gt;0),0,IF(AND($A50&gt;=C$7,C$7&gt;0),C$8,0))</f>
        <v>0</v>
      </c>
      <c r="C50" s="135">
        <f t="shared" ref="C50:C81" si="40">IF(AND($A50&gt;=C$10,C$10&gt;0),C$11,C49+B50)</f>
        <v>5</v>
      </c>
      <c r="D50" s="197"/>
      <c r="E50" s="134">
        <f t="shared" si="30"/>
        <v>0</v>
      </c>
      <c r="F50" s="11">
        <f t="shared" si="24"/>
        <v>9</v>
      </c>
      <c r="G50" s="136">
        <f t="shared" si="25"/>
        <v>451</v>
      </c>
      <c r="H50" s="197"/>
      <c r="I50" s="137">
        <f t="shared" ref="I50:I81" si="41">IF(($A50&lt;K$5),1,IF(AND($A50&gt;K$13,K$13&gt;0),I49,IF(AND($A50&gt;=K$10,K$10&gt;0),ROUND(I49+K$11,4),IF(AND($A50&gt;=K$7,K$7&gt;0),ROUND(I49+K$8,4),K$4))))</f>
        <v>3.7</v>
      </c>
      <c r="J50" s="12">
        <f t="shared" ref="J50:J81" si="42">IF($A50&lt;K$5, K$3, IF(K$2=0,IF(K$14&gt;0,IF(K$3*K$14&lt;ROUND(J49*I50, 3),K$3*K$14,ROUND(J49*I50, 3)),ROUND(J49*I50, 3)),IF(K$14&gt;0,IF(K$3*K$14&lt;ROUND(K$3*I50, 3),K$3*K$14,ROUND(K$3*I50, 3)),ROUND(K$3*I50, 3))))</f>
        <v>3.6999999999999998E-2</v>
      </c>
      <c r="K50" s="138">
        <f t="shared" si="26"/>
        <v>0.73000000000000032</v>
      </c>
      <c r="L50" s="200"/>
      <c r="M50" s="139">
        <f t="shared" si="31"/>
        <v>36.5</v>
      </c>
      <c r="N50" s="139">
        <f t="shared" si="32"/>
        <v>7.3</v>
      </c>
      <c r="O50" s="140">
        <f t="shared" ref="O50:O81" si="43">ROUND((ROUND(K49,2)*(G50-G49)*$O$4+O49+J50*$O$6),2)</f>
        <v>828.6</v>
      </c>
      <c r="P50" s="141">
        <f t="shared" si="33"/>
        <v>0.2762</v>
      </c>
      <c r="Q50" s="127">
        <f t="shared" si="20"/>
        <v>114</v>
      </c>
      <c r="R50" s="142">
        <f t="shared" si="21"/>
        <v>0.25</v>
      </c>
      <c r="S50" s="143">
        <f t="shared" si="16"/>
        <v>119</v>
      </c>
      <c r="T50" s="144">
        <f t="shared" si="22"/>
        <v>0.26</v>
      </c>
      <c r="U50" s="203"/>
      <c r="V50" s="145">
        <f t="shared" si="34"/>
        <v>157.1</v>
      </c>
      <c r="W50" s="146">
        <f t="shared" si="27"/>
        <v>985.7</v>
      </c>
      <c r="X50" s="147">
        <f t="shared" si="28"/>
        <v>0.19</v>
      </c>
      <c r="Y50" s="147">
        <f t="shared" si="35"/>
        <v>0.05</v>
      </c>
      <c r="Z50" s="206"/>
      <c r="AA50" s="148">
        <f t="shared" si="36"/>
        <v>2014.3</v>
      </c>
      <c r="AB50" s="147">
        <f t="shared" si="37"/>
        <v>0.33</v>
      </c>
      <c r="AC50" s="149">
        <f t="shared" si="38"/>
        <v>295.3</v>
      </c>
      <c r="AD50" s="149">
        <f t="shared" si="29"/>
        <v>746.3</v>
      </c>
      <c r="AE50" s="150">
        <v>34</v>
      </c>
    </row>
    <row r="51" spans="1:31" ht="15" x14ac:dyDescent="0.25">
      <c r="A51" s="133">
        <v>35</v>
      </c>
      <c r="B51" s="166">
        <f t="shared" si="39"/>
        <v>0</v>
      </c>
      <c r="C51" s="44">
        <f t="shared" si="40"/>
        <v>5</v>
      </c>
      <c r="D51" s="197"/>
      <c r="E51" s="166">
        <f t="shared" si="30"/>
        <v>0</v>
      </c>
      <c r="F51" s="44">
        <f t="shared" si="24"/>
        <v>9</v>
      </c>
      <c r="G51" s="44">
        <f t="shared" si="25"/>
        <v>460</v>
      </c>
      <c r="H51" s="197"/>
      <c r="I51" s="167">
        <f t="shared" si="41"/>
        <v>3.8</v>
      </c>
      <c r="J51" s="45">
        <f t="shared" si="42"/>
        <v>3.7999999999999999E-2</v>
      </c>
      <c r="K51" s="45">
        <f t="shared" si="26"/>
        <v>0.77000000000000035</v>
      </c>
      <c r="L51" s="200"/>
      <c r="M51" s="168">
        <f t="shared" si="31"/>
        <v>38.5</v>
      </c>
      <c r="N51" s="168">
        <f t="shared" si="32"/>
        <v>7.7</v>
      </c>
      <c r="O51" s="169">
        <f t="shared" si="43"/>
        <v>894.3</v>
      </c>
      <c r="P51" s="170">
        <f t="shared" si="33"/>
        <v>0.29809999999999998</v>
      </c>
      <c r="Q51" s="171">
        <f t="shared" si="20"/>
        <v>116</v>
      </c>
      <c r="R51" s="172">
        <f t="shared" si="21"/>
        <v>0.25</v>
      </c>
      <c r="S51" s="173">
        <f t="shared" si="16"/>
        <v>121</v>
      </c>
      <c r="T51" s="172">
        <f t="shared" si="22"/>
        <v>0.26</v>
      </c>
      <c r="U51" s="203"/>
      <c r="V51" s="174">
        <f t="shared" si="34"/>
        <v>165.7</v>
      </c>
      <c r="W51" s="175">
        <f t="shared" si="27"/>
        <v>1060</v>
      </c>
      <c r="X51" s="176">
        <f t="shared" si="28"/>
        <v>0.19</v>
      </c>
      <c r="Y51" s="176">
        <f t="shared" si="35"/>
        <v>0.06</v>
      </c>
      <c r="Z51" s="206"/>
      <c r="AA51" s="177">
        <f t="shared" si="36"/>
        <v>1940</v>
      </c>
      <c r="AB51" s="176">
        <f t="shared" si="37"/>
        <v>0.35</v>
      </c>
      <c r="AC51" s="178">
        <f t="shared" si="38"/>
        <v>271.31558441558434</v>
      </c>
      <c r="AD51" s="178">
        <f t="shared" si="29"/>
        <v>731.31558441558434</v>
      </c>
      <c r="AE51" s="150">
        <v>35</v>
      </c>
    </row>
    <row r="52" spans="1:31" ht="15" x14ac:dyDescent="0.25">
      <c r="A52" s="133">
        <v>36</v>
      </c>
      <c r="B52" s="134">
        <f t="shared" si="39"/>
        <v>0</v>
      </c>
      <c r="C52" s="135">
        <f t="shared" si="40"/>
        <v>5</v>
      </c>
      <c r="D52" s="197"/>
      <c r="E52" s="134">
        <f t="shared" si="30"/>
        <v>0</v>
      </c>
      <c r="F52" s="11">
        <f t="shared" si="24"/>
        <v>9</v>
      </c>
      <c r="G52" s="136">
        <f t="shared" si="25"/>
        <v>469</v>
      </c>
      <c r="H52" s="197"/>
      <c r="I52" s="137">
        <f t="shared" si="41"/>
        <v>3.9</v>
      </c>
      <c r="J52" s="12">
        <f t="shared" si="42"/>
        <v>3.9E-2</v>
      </c>
      <c r="K52" s="138">
        <f t="shared" si="26"/>
        <v>0.81000000000000039</v>
      </c>
      <c r="L52" s="200"/>
      <c r="M52" s="139">
        <f t="shared" si="31"/>
        <v>40.5</v>
      </c>
      <c r="N52" s="139">
        <f t="shared" si="32"/>
        <v>8.1</v>
      </c>
      <c r="O52" s="140">
        <f t="shared" si="43"/>
        <v>963.6</v>
      </c>
      <c r="P52" s="141">
        <f t="shared" si="33"/>
        <v>0.32119999999999999</v>
      </c>
      <c r="Q52" s="127">
        <f t="shared" si="20"/>
        <v>119</v>
      </c>
      <c r="R52" s="142">
        <f t="shared" si="21"/>
        <v>0.25</v>
      </c>
      <c r="S52" s="143">
        <f t="shared" si="16"/>
        <v>124</v>
      </c>
      <c r="T52" s="144">
        <f t="shared" si="22"/>
        <v>0.26</v>
      </c>
      <c r="U52" s="203"/>
      <c r="V52" s="145">
        <f t="shared" si="34"/>
        <v>174.31</v>
      </c>
      <c r="W52" s="146">
        <f t="shared" si="27"/>
        <v>1137.9100000000001</v>
      </c>
      <c r="X52" s="147">
        <f t="shared" si="28"/>
        <v>0.18</v>
      </c>
      <c r="Y52" s="147">
        <f t="shared" si="35"/>
        <v>0.06</v>
      </c>
      <c r="Z52" s="206"/>
      <c r="AA52" s="148">
        <f t="shared" si="36"/>
        <v>1862.09</v>
      </c>
      <c r="AB52" s="147">
        <f t="shared" si="37"/>
        <v>0.38</v>
      </c>
      <c r="AC52" s="149">
        <f t="shared" si="38"/>
        <v>249.25543209876545</v>
      </c>
      <c r="AD52" s="149">
        <f t="shared" si="29"/>
        <v>718.25543209876548</v>
      </c>
      <c r="AE52" s="150">
        <v>36</v>
      </c>
    </row>
    <row r="53" spans="1:31" ht="15" x14ac:dyDescent="0.25">
      <c r="A53" s="133">
        <v>37</v>
      </c>
      <c r="B53" s="134">
        <f t="shared" si="39"/>
        <v>0</v>
      </c>
      <c r="C53" s="135">
        <f t="shared" si="40"/>
        <v>5</v>
      </c>
      <c r="D53" s="197"/>
      <c r="E53" s="134">
        <f t="shared" si="30"/>
        <v>0</v>
      </c>
      <c r="F53" s="11">
        <f t="shared" si="24"/>
        <v>9</v>
      </c>
      <c r="G53" s="136">
        <f t="shared" si="25"/>
        <v>478</v>
      </c>
      <c r="H53" s="197"/>
      <c r="I53" s="137">
        <f t="shared" si="41"/>
        <v>4</v>
      </c>
      <c r="J53" s="12">
        <f t="shared" si="42"/>
        <v>0.04</v>
      </c>
      <c r="K53" s="138">
        <f t="shared" si="26"/>
        <v>0.85000000000000042</v>
      </c>
      <c r="L53" s="200"/>
      <c r="M53" s="139">
        <f t="shared" si="31"/>
        <v>42.5</v>
      </c>
      <c r="N53" s="139">
        <f t="shared" si="32"/>
        <v>8.5</v>
      </c>
      <c r="O53" s="140">
        <f t="shared" si="43"/>
        <v>1036.5</v>
      </c>
      <c r="P53" s="141">
        <f t="shared" si="33"/>
        <v>0.34549999999999997</v>
      </c>
      <c r="Q53" s="127">
        <f t="shared" si="20"/>
        <v>122</v>
      </c>
      <c r="R53" s="142">
        <f t="shared" si="21"/>
        <v>0.26</v>
      </c>
      <c r="S53" s="143">
        <f t="shared" si="16"/>
        <v>127</v>
      </c>
      <c r="T53" s="144">
        <f t="shared" si="22"/>
        <v>0.27</v>
      </c>
      <c r="U53" s="203"/>
      <c r="V53" s="145">
        <f t="shared" si="34"/>
        <v>182.92</v>
      </c>
      <c r="W53" s="146">
        <f t="shared" si="27"/>
        <v>1219.42</v>
      </c>
      <c r="X53" s="147">
        <f t="shared" si="28"/>
        <v>0.18</v>
      </c>
      <c r="Y53" s="147">
        <f t="shared" si="35"/>
        <v>0.06</v>
      </c>
      <c r="Z53" s="206"/>
      <c r="AA53" s="148">
        <f t="shared" si="36"/>
        <v>1780.58</v>
      </c>
      <c r="AB53" s="147">
        <f t="shared" si="37"/>
        <v>0.41</v>
      </c>
      <c r="AC53" s="149">
        <f t="shared" si="38"/>
        <v>228.84800000000001</v>
      </c>
      <c r="AD53" s="149">
        <f t="shared" si="29"/>
        <v>706.84799999999996</v>
      </c>
      <c r="AE53" s="150">
        <v>37</v>
      </c>
    </row>
    <row r="54" spans="1:31" ht="15" x14ac:dyDescent="0.25">
      <c r="A54" s="133">
        <v>38</v>
      </c>
      <c r="B54" s="134">
        <f t="shared" si="39"/>
        <v>0</v>
      </c>
      <c r="C54" s="135">
        <f t="shared" si="40"/>
        <v>5</v>
      </c>
      <c r="D54" s="197"/>
      <c r="E54" s="134">
        <f t="shared" si="30"/>
        <v>0</v>
      </c>
      <c r="F54" s="11">
        <f t="shared" si="24"/>
        <v>9</v>
      </c>
      <c r="G54" s="136">
        <f t="shared" si="25"/>
        <v>487</v>
      </c>
      <c r="H54" s="197"/>
      <c r="I54" s="137">
        <f t="shared" si="41"/>
        <v>4.0999999999999996</v>
      </c>
      <c r="J54" s="12">
        <f t="shared" si="42"/>
        <v>4.1000000000000002E-2</v>
      </c>
      <c r="K54" s="138">
        <f t="shared" si="26"/>
        <v>0.89000000000000046</v>
      </c>
      <c r="L54" s="200"/>
      <c r="M54" s="139">
        <f t="shared" si="31"/>
        <v>44.5</v>
      </c>
      <c r="N54" s="139">
        <f t="shared" si="32"/>
        <v>8.9</v>
      </c>
      <c r="O54" s="140">
        <f t="shared" si="43"/>
        <v>1113</v>
      </c>
      <c r="P54" s="141">
        <f t="shared" si="33"/>
        <v>0.371</v>
      </c>
      <c r="Q54" s="127">
        <f t="shared" si="20"/>
        <v>125</v>
      </c>
      <c r="R54" s="142">
        <f t="shared" si="21"/>
        <v>0.26</v>
      </c>
      <c r="S54" s="143">
        <f t="shared" si="16"/>
        <v>130</v>
      </c>
      <c r="T54" s="144">
        <f t="shared" si="22"/>
        <v>0.27</v>
      </c>
      <c r="U54" s="203"/>
      <c r="V54" s="145">
        <f t="shared" si="34"/>
        <v>191.53</v>
      </c>
      <c r="W54" s="146">
        <f t="shared" si="27"/>
        <v>1304.53</v>
      </c>
      <c r="X54" s="147">
        <f t="shared" si="28"/>
        <v>0.17</v>
      </c>
      <c r="Y54" s="147">
        <f t="shared" si="35"/>
        <v>0.06</v>
      </c>
      <c r="Z54" s="206"/>
      <c r="AA54" s="148">
        <f t="shared" si="36"/>
        <v>1695.47</v>
      </c>
      <c r="AB54" s="147">
        <f t="shared" si="37"/>
        <v>0.43</v>
      </c>
      <c r="AC54" s="149">
        <f t="shared" si="38"/>
        <v>209.87044943820223</v>
      </c>
      <c r="AD54" s="149">
        <f t="shared" si="29"/>
        <v>696.87044943820229</v>
      </c>
      <c r="AE54" s="150">
        <v>38</v>
      </c>
    </row>
    <row r="55" spans="1:31" ht="15" x14ac:dyDescent="0.25">
      <c r="A55" s="133">
        <v>39</v>
      </c>
      <c r="B55" s="134">
        <f t="shared" si="39"/>
        <v>0</v>
      </c>
      <c r="C55" s="135">
        <f t="shared" si="40"/>
        <v>5</v>
      </c>
      <c r="D55" s="197"/>
      <c r="E55" s="134">
        <f t="shared" si="30"/>
        <v>0</v>
      </c>
      <c r="F55" s="11">
        <f t="shared" si="24"/>
        <v>9</v>
      </c>
      <c r="G55" s="136">
        <f t="shared" si="25"/>
        <v>496</v>
      </c>
      <c r="H55" s="197"/>
      <c r="I55" s="137">
        <f t="shared" si="41"/>
        <v>4.2</v>
      </c>
      <c r="J55" s="12">
        <f t="shared" si="42"/>
        <v>4.2000000000000003E-2</v>
      </c>
      <c r="K55" s="138">
        <f t="shared" si="26"/>
        <v>0.93000000000000049</v>
      </c>
      <c r="L55" s="200"/>
      <c r="M55" s="139">
        <f t="shared" si="31"/>
        <v>46.5</v>
      </c>
      <c r="N55" s="139">
        <f t="shared" si="32"/>
        <v>9.3000000000000007</v>
      </c>
      <c r="O55" s="140">
        <f t="shared" si="43"/>
        <v>1193.0999999999999</v>
      </c>
      <c r="P55" s="141">
        <f t="shared" si="33"/>
        <v>0.39769999999999994</v>
      </c>
      <c r="Q55" s="127">
        <f t="shared" si="20"/>
        <v>128</v>
      </c>
      <c r="R55" s="142">
        <f t="shared" si="21"/>
        <v>0.26</v>
      </c>
      <c r="S55" s="143">
        <f t="shared" si="16"/>
        <v>133</v>
      </c>
      <c r="T55" s="144">
        <f t="shared" si="22"/>
        <v>0.27</v>
      </c>
      <c r="U55" s="203"/>
      <c r="V55" s="145">
        <f t="shared" si="34"/>
        <v>200.14</v>
      </c>
      <c r="W55" s="146">
        <f t="shared" si="27"/>
        <v>1393.24</v>
      </c>
      <c r="X55" s="147">
        <f t="shared" si="28"/>
        <v>0.17</v>
      </c>
      <c r="Y55" s="147">
        <f t="shared" si="35"/>
        <v>7.0000000000000007E-2</v>
      </c>
      <c r="Z55" s="206"/>
      <c r="AA55" s="148">
        <f t="shared" si="36"/>
        <v>1606.76</v>
      </c>
      <c r="AB55" s="147">
        <f t="shared" si="37"/>
        <v>0.46</v>
      </c>
      <c r="AC55" s="149">
        <f t="shared" si="38"/>
        <v>192.13827956989249</v>
      </c>
      <c r="AD55" s="149">
        <f t="shared" si="29"/>
        <v>688.13827956989246</v>
      </c>
      <c r="AE55" s="150">
        <v>39</v>
      </c>
    </row>
    <row r="56" spans="1:31" ht="15" x14ac:dyDescent="0.25">
      <c r="A56" s="133">
        <v>40</v>
      </c>
      <c r="B56" s="166">
        <f t="shared" si="39"/>
        <v>0</v>
      </c>
      <c r="C56" s="44">
        <f t="shared" si="40"/>
        <v>5</v>
      </c>
      <c r="D56" s="197"/>
      <c r="E56" s="166">
        <f t="shared" si="30"/>
        <v>0</v>
      </c>
      <c r="F56" s="44">
        <f t="shared" si="24"/>
        <v>9</v>
      </c>
      <c r="G56" s="44">
        <f t="shared" si="25"/>
        <v>505</v>
      </c>
      <c r="H56" s="197"/>
      <c r="I56" s="167">
        <f t="shared" si="41"/>
        <v>4.3</v>
      </c>
      <c r="J56" s="45">
        <f t="shared" si="42"/>
        <v>4.2999999999999997E-2</v>
      </c>
      <c r="K56" s="45">
        <f t="shared" si="26"/>
        <v>0.97000000000000053</v>
      </c>
      <c r="L56" s="200"/>
      <c r="M56" s="168">
        <f t="shared" si="31"/>
        <v>48.5</v>
      </c>
      <c r="N56" s="168">
        <f t="shared" si="32"/>
        <v>9.6999999999999993</v>
      </c>
      <c r="O56" s="169">
        <f t="shared" si="43"/>
        <v>1276.8</v>
      </c>
      <c r="P56" s="170">
        <f t="shared" si="33"/>
        <v>0.42559999999999998</v>
      </c>
      <c r="Q56" s="171">
        <f t="shared" si="20"/>
        <v>132</v>
      </c>
      <c r="R56" s="172">
        <f t="shared" si="21"/>
        <v>0.26</v>
      </c>
      <c r="S56" s="173">
        <f t="shared" si="16"/>
        <v>137</v>
      </c>
      <c r="T56" s="172">
        <f t="shared" si="22"/>
        <v>0.27</v>
      </c>
      <c r="U56" s="203"/>
      <c r="V56" s="174">
        <f t="shared" si="34"/>
        <v>208.74</v>
      </c>
      <c r="W56" s="175">
        <f t="shared" si="27"/>
        <v>1485.54</v>
      </c>
      <c r="X56" s="176">
        <f t="shared" si="28"/>
        <v>0.16</v>
      </c>
      <c r="Y56" s="176">
        <f t="shared" si="35"/>
        <v>7.0000000000000007E-2</v>
      </c>
      <c r="Z56" s="206"/>
      <c r="AA56" s="177">
        <f t="shared" si="36"/>
        <v>1514.46</v>
      </c>
      <c r="AB56" s="176">
        <f t="shared" si="37"/>
        <v>0.5</v>
      </c>
      <c r="AC56" s="178">
        <f t="shared" si="38"/>
        <v>175.49752577319589</v>
      </c>
      <c r="AD56" s="178">
        <f t="shared" si="29"/>
        <v>680.49752577319589</v>
      </c>
      <c r="AE56" s="150">
        <v>40</v>
      </c>
    </row>
    <row r="57" spans="1:31" ht="15" x14ac:dyDescent="0.25">
      <c r="A57" s="133">
        <v>41</v>
      </c>
      <c r="B57" s="134">
        <f t="shared" si="39"/>
        <v>0</v>
      </c>
      <c r="C57" s="135">
        <f t="shared" si="40"/>
        <v>5</v>
      </c>
      <c r="D57" s="197"/>
      <c r="E57" s="134">
        <f t="shared" si="30"/>
        <v>0</v>
      </c>
      <c r="F57" s="11">
        <f t="shared" si="24"/>
        <v>9</v>
      </c>
      <c r="G57" s="136">
        <f t="shared" si="25"/>
        <v>514</v>
      </c>
      <c r="H57" s="197"/>
      <c r="I57" s="137">
        <f t="shared" si="41"/>
        <v>4.4000000000000004</v>
      </c>
      <c r="J57" s="12">
        <f t="shared" si="42"/>
        <v>4.3999999999999997E-2</v>
      </c>
      <c r="K57" s="138">
        <f t="shared" si="26"/>
        <v>1.0100000000000005</v>
      </c>
      <c r="L57" s="200"/>
      <c r="M57" s="139">
        <f t="shared" si="31"/>
        <v>50.5</v>
      </c>
      <c r="N57" s="139">
        <f t="shared" si="32"/>
        <v>10.1</v>
      </c>
      <c r="O57" s="140">
        <f t="shared" si="43"/>
        <v>1364.1</v>
      </c>
      <c r="P57" s="141">
        <f t="shared" si="33"/>
        <v>0.45469999999999999</v>
      </c>
      <c r="Q57" s="127">
        <f t="shared" si="20"/>
        <v>135</v>
      </c>
      <c r="R57" s="142">
        <f t="shared" si="21"/>
        <v>0.26</v>
      </c>
      <c r="S57" s="143">
        <f t="shared" si="16"/>
        <v>140</v>
      </c>
      <c r="T57" s="144">
        <f t="shared" si="22"/>
        <v>0.27</v>
      </c>
      <c r="U57" s="203"/>
      <c r="V57" s="145">
        <f t="shared" si="34"/>
        <v>217.35</v>
      </c>
      <c r="W57" s="146">
        <f t="shared" si="27"/>
        <v>1581.45</v>
      </c>
      <c r="X57" s="147">
        <f t="shared" si="28"/>
        <v>0.16</v>
      </c>
      <c r="Y57" s="147">
        <f t="shared" si="35"/>
        <v>7.0000000000000007E-2</v>
      </c>
      <c r="Z57" s="206"/>
      <c r="AA57" s="148">
        <f t="shared" si="36"/>
        <v>1418.55</v>
      </c>
      <c r="AB57" s="147">
        <f t="shared" si="37"/>
        <v>0.53</v>
      </c>
      <c r="AC57" s="149">
        <f t="shared" si="38"/>
        <v>159.81831683168321</v>
      </c>
      <c r="AD57" s="149">
        <f t="shared" si="29"/>
        <v>673.81831683168321</v>
      </c>
      <c r="AE57" s="150">
        <v>41</v>
      </c>
    </row>
    <row r="58" spans="1:31" ht="15" x14ac:dyDescent="0.25">
      <c r="A58" s="133">
        <v>42</v>
      </c>
      <c r="B58" s="134">
        <f t="shared" si="39"/>
        <v>0</v>
      </c>
      <c r="C58" s="135">
        <f t="shared" si="40"/>
        <v>5</v>
      </c>
      <c r="D58" s="197"/>
      <c r="E58" s="134">
        <f t="shared" si="30"/>
        <v>0</v>
      </c>
      <c r="F58" s="11">
        <f t="shared" si="24"/>
        <v>9</v>
      </c>
      <c r="G58" s="136">
        <f t="shared" si="25"/>
        <v>523</v>
      </c>
      <c r="H58" s="197"/>
      <c r="I58" s="137">
        <f t="shared" si="41"/>
        <v>4.5</v>
      </c>
      <c r="J58" s="12">
        <f t="shared" si="42"/>
        <v>4.4999999999999998E-2</v>
      </c>
      <c r="K58" s="138">
        <f t="shared" si="26"/>
        <v>1.0600000000000005</v>
      </c>
      <c r="L58" s="200"/>
      <c r="M58" s="139">
        <f t="shared" si="31"/>
        <v>53</v>
      </c>
      <c r="N58" s="139">
        <f t="shared" si="32"/>
        <v>10.6</v>
      </c>
      <c r="O58" s="140">
        <f t="shared" si="43"/>
        <v>1455</v>
      </c>
      <c r="P58" s="141">
        <f t="shared" si="33"/>
        <v>0.48499999999999999</v>
      </c>
      <c r="Q58" s="127">
        <f t="shared" si="20"/>
        <v>137</v>
      </c>
      <c r="R58" s="142">
        <f t="shared" si="21"/>
        <v>0.26</v>
      </c>
      <c r="S58" s="143">
        <f t="shared" si="16"/>
        <v>142</v>
      </c>
      <c r="T58" s="144">
        <f t="shared" si="22"/>
        <v>0.27</v>
      </c>
      <c r="U58" s="203"/>
      <c r="V58" s="145">
        <f t="shared" si="34"/>
        <v>228.11</v>
      </c>
      <c r="W58" s="146">
        <f t="shared" si="27"/>
        <v>1683.11</v>
      </c>
      <c r="X58" s="147">
        <f t="shared" si="28"/>
        <v>0.16</v>
      </c>
      <c r="Y58" s="147">
        <f t="shared" si="35"/>
        <v>0.08</v>
      </c>
      <c r="Z58" s="206"/>
      <c r="AA58" s="148">
        <f t="shared" si="36"/>
        <v>1316.89</v>
      </c>
      <c r="AB58" s="147">
        <f t="shared" si="37"/>
        <v>0.56000000000000005</v>
      </c>
      <c r="AC58" s="149">
        <f t="shared" si="38"/>
        <v>143.60273584905661</v>
      </c>
      <c r="AD58" s="149">
        <f t="shared" si="29"/>
        <v>666.60273584905667</v>
      </c>
      <c r="AE58" s="150">
        <v>42</v>
      </c>
    </row>
    <row r="59" spans="1:31" ht="15" x14ac:dyDescent="0.25">
      <c r="A59" s="133">
        <v>43</v>
      </c>
      <c r="B59" s="134">
        <f t="shared" si="39"/>
        <v>0</v>
      </c>
      <c r="C59" s="135">
        <f t="shared" si="40"/>
        <v>5</v>
      </c>
      <c r="D59" s="197"/>
      <c r="E59" s="134">
        <f t="shared" si="30"/>
        <v>0</v>
      </c>
      <c r="F59" s="11">
        <f t="shared" si="24"/>
        <v>9</v>
      </c>
      <c r="G59" s="136">
        <f t="shared" si="25"/>
        <v>532</v>
      </c>
      <c r="H59" s="197"/>
      <c r="I59" s="137">
        <f t="shared" si="41"/>
        <v>4.5999999999999996</v>
      </c>
      <c r="J59" s="12">
        <f t="shared" si="42"/>
        <v>4.5999999999999999E-2</v>
      </c>
      <c r="K59" s="138">
        <f t="shared" si="26"/>
        <v>1.1100000000000005</v>
      </c>
      <c r="L59" s="200"/>
      <c r="M59" s="139">
        <f t="shared" si="31"/>
        <v>55.5</v>
      </c>
      <c r="N59" s="139">
        <f t="shared" si="32"/>
        <v>11.1</v>
      </c>
      <c r="O59" s="140">
        <f t="shared" si="43"/>
        <v>1550.4</v>
      </c>
      <c r="P59" s="141">
        <f t="shared" si="33"/>
        <v>0.51680000000000004</v>
      </c>
      <c r="Q59" s="127">
        <f t="shared" si="20"/>
        <v>140</v>
      </c>
      <c r="R59" s="142">
        <f t="shared" si="21"/>
        <v>0.26</v>
      </c>
      <c r="S59" s="143">
        <f t="shared" si="16"/>
        <v>145</v>
      </c>
      <c r="T59" s="144">
        <f t="shared" si="22"/>
        <v>0.27</v>
      </c>
      <c r="U59" s="203"/>
      <c r="V59" s="145">
        <f t="shared" si="34"/>
        <v>238.87</v>
      </c>
      <c r="W59" s="146">
        <f t="shared" si="27"/>
        <v>1789.27</v>
      </c>
      <c r="X59" s="147">
        <f t="shared" si="28"/>
        <v>0.15</v>
      </c>
      <c r="Y59" s="147">
        <f t="shared" si="35"/>
        <v>0.08</v>
      </c>
      <c r="Z59" s="206"/>
      <c r="AA59" s="148">
        <f t="shared" si="36"/>
        <v>1210.73</v>
      </c>
      <c r="AB59" s="147">
        <f t="shared" si="37"/>
        <v>0.6</v>
      </c>
      <c r="AC59" s="149">
        <f t="shared" si="38"/>
        <v>128.44261261261261</v>
      </c>
      <c r="AD59" s="149">
        <f t="shared" si="29"/>
        <v>660.44261261261261</v>
      </c>
      <c r="AE59" s="150">
        <v>43</v>
      </c>
    </row>
    <row r="60" spans="1:31" ht="15" x14ac:dyDescent="0.25">
      <c r="A60" s="133">
        <v>44</v>
      </c>
      <c r="B60" s="134">
        <f t="shared" si="39"/>
        <v>0</v>
      </c>
      <c r="C60" s="135">
        <f t="shared" si="40"/>
        <v>5</v>
      </c>
      <c r="D60" s="197"/>
      <c r="E60" s="134">
        <f t="shared" si="30"/>
        <v>0</v>
      </c>
      <c r="F60" s="11">
        <f t="shared" si="24"/>
        <v>9</v>
      </c>
      <c r="G60" s="136">
        <f t="shared" si="25"/>
        <v>541</v>
      </c>
      <c r="H60" s="197"/>
      <c r="I60" s="137">
        <f t="shared" si="41"/>
        <v>4.7</v>
      </c>
      <c r="J60" s="12">
        <f t="shared" si="42"/>
        <v>4.7E-2</v>
      </c>
      <c r="K60" s="138">
        <f t="shared" si="26"/>
        <v>1.1600000000000006</v>
      </c>
      <c r="L60" s="200"/>
      <c r="M60" s="139">
        <f t="shared" si="31"/>
        <v>58</v>
      </c>
      <c r="N60" s="139">
        <f t="shared" si="32"/>
        <v>11.6</v>
      </c>
      <c r="O60" s="140">
        <f t="shared" si="43"/>
        <v>1650.3</v>
      </c>
      <c r="P60" s="141">
        <f t="shared" si="33"/>
        <v>0.55010000000000003</v>
      </c>
      <c r="Q60" s="127">
        <f t="shared" si="20"/>
        <v>142</v>
      </c>
      <c r="R60" s="142">
        <f t="shared" si="21"/>
        <v>0.26</v>
      </c>
      <c r="S60" s="143">
        <f t="shared" si="16"/>
        <v>147</v>
      </c>
      <c r="T60" s="144">
        <f t="shared" si="22"/>
        <v>0.27</v>
      </c>
      <c r="U60" s="203"/>
      <c r="V60" s="145">
        <f t="shared" si="34"/>
        <v>249.63</v>
      </c>
      <c r="W60" s="146">
        <f t="shared" si="27"/>
        <v>1899.93</v>
      </c>
      <c r="X60" s="147">
        <f t="shared" si="28"/>
        <v>0.15</v>
      </c>
      <c r="Y60" s="147">
        <f t="shared" si="35"/>
        <v>0.08</v>
      </c>
      <c r="Z60" s="206"/>
      <c r="AA60" s="148">
        <f t="shared" si="36"/>
        <v>1100.07</v>
      </c>
      <c r="AB60" s="147">
        <f t="shared" si="37"/>
        <v>0.63</v>
      </c>
      <c r="AC60" s="149">
        <f t="shared" si="38"/>
        <v>114.20146551724139</v>
      </c>
      <c r="AD60" s="149">
        <f t="shared" si="29"/>
        <v>655.20146551724133</v>
      </c>
      <c r="AE60" s="150">
        <v>44</v>
      </c>
    </row>
    <row r="61" spans="1:31" ht="15" x14ac:dyDescent="0.25">
      <c r="A61" s="133">
        <v>45</v>
      </c>
      <c r="B61" s="166">
        <f t="shared" si="39"/>
        <v>0</v>
      </c>
      <c r="C61" s="44">
        <f t="shared" si="40"/>
        <v>5</v>
      </c>
      <c r="D61" s="197"/>
      <c r="E61" s="166">
        <f t="shared" si="30"/>
        <v>0</v>
      </c>
      <c r="F61" s="44">
        <f t="shared" si="24"/>
        <v>9</v>
      </c>
      <c r="G61" s="44">
        <f t="shared" si="25"/>
        <v>550</v>
      </c>
      <c r="H61" s="197"/>
      <c r="I61" s="167">
        <f t="shared" si="41"/>
        <v>4.8</v>
      </c>
      <c r="J61" s="45">
        <f t="shared" si="42"/>
        <v>4.8000000000000001E-2</v>
      </c>
      <c r="K61" s="45">
        <f t="shared" si="26"/>
        <v>1.2100000000000006</v>
      </c>
      <c r="L61" s="200"/>
      <c r="M61" s="168">
        <f t="shared" si="31"/>
        <v>60.5</v>
      </c>
      <c r="N61" s="168">
        <f t="shared" si="32"/>
        <v>12.1</v>
      </c>
      <c r="O61" s="169">
        <f t="shared" si="43"/>
        <v>1754.7</v>
      </c>
      <c r="P61" s="170">
        <f t="shared" si="33"/>
        <v>0.58489999999999998</v>
      </c>
      <c r="Q61" s="171">
        <f t="shared" si="20"/>
        <v>145</v>
      </c>
      <c r="R61" s="172">
        <f t="shared" si="21"/>
        <v>0.26</v>
      </c>
      <c r="S61" s="173">
        <f t="shared" si="16"/>
        <v>150</v>
      </c>
      <c r="T61" s="172">
        <f t="shared" si="22"/>
        <v>0.27</v>
      </c>
      <c r="U61" s="203"/>
      <c r="V61" s="174">
        <f t="shared" si="34"/>
        <v>260.39</v>
      </c>
      <c r="W61" s="175">
        <f t="shared" si="27"/>
        <v>2015.09</v>
      </c>
      <c r="X61" s="176">
        <f t="shared" si="28"/>
        <v>0.15</v>
      </c>
      <c r="Y61" s="176">
        <f t="shared" si="35"/>
        <v>0.09</v>
      </c>
      <c r="Z61" s="206"/>
      <c r="AA61" s="177">
        <f t="shared" si="36"/>
        <v>984.91</v>
      </c>
      <c r="AB61" s="176">
        <f t="shared" si="37"/>
        <v>0.67</v>
      </c>
      <c r="AC61" s="178">
        <f t="shared" si="38"/>
        <v>100.76537190082645</v>
      </c>
      <c r="AD61" s="178">
        <f t="shared" si="29"/>
        <v>650.76537190082649</v>
      </c>
      <c r="AE61" s="150">
        <v>45</v>
      </c>
    </row>
    <row r="62" spans="1:31" ht="15" x14ac:dyDescent="0.25">
      <c r="A62" s="133">
        <v>46</v>
      </c>
      <c r="B62" s="134">
        <f t="shared" si="39"/>
        <v>0</v>
      </c>
      <c r="C62" s="135">
        <f t="shared" si="40"/>
        <v>5</v>
      </c>
      <c r="D62" s="197"/>
      <c r="E62" s="134">
        <f t="shared" si="30"/>
        <v>0</v>
      </c>
      <c r="F62" s="11">
        <f t="shared" si="24"/>
        <v>9</v>
      </c>
      <c r="G62" s="136">
        <f t="shared" si="25"/>
        <v>559</v>
      </c>
      <c r="H62" s="197"/>
      <c r="I62" s="137">
        <f t="shared" si="41"/>
        <v>4.9000000000000004</v>
      </c>
      <c r="J62" s="12">
        <f t="shared" si="42"/>
        <v>4.9000000000000002E-2</v>
      </c>
      <c r="K62" s="138">
        <f t="shared" si="26"/>
        <v>1.2600000000000007</v>
      </c>
      <c r="L62" s="200"/>
      <c r="M62" s="139">
        <f t="shared" si="31"/>
        <v>63</v>
      </c>
      <c r="N62" s="139">
        <f t="shared" si="32"/>
        <v>12.6</v>
      </c>
      <c r="O62" s="140">
        <f t="shared" si="43"/>
        <v>1863.6</v>
      </c>
      <c r="P62" s="141">
        <f t="shared" si="33"/>
        <v>0.62119999999999997</v>
      </c>
      <c r="Q62" s="127">
        <f t="shared" si="20"/>
        <v>148</v>
      </c>
      <c r="R62" s="142">
        <f t="shared" si="21"/>
        <v>0.26</v>
      </c>
      <c r="S62" s="143">
        <f t="shared" si="16"/>
        <v>153</v>
      </c>
      <c r="T62" s="144">
        <f t="shared" si="22"/>
        <v>0.27</v>
      </c>
      <c r="U62" s="203"/>
      <c r="V62" s="145">
        <f t="shared" si="34"/>
        <v>271.14999999999998</v>
      </c>
      <c r="W62" s="146">
        <f t="shared" si="27"/>
        <v>2134.75</v>
      </c>
      <c r="X62" s="147">
        <f t="shared" si="28"/>
        <v>0.15</v>
      </c>
      <c r="Y62" s="147">
        <f t="shared" si="35"/>
        <v>0.09</v>
      </c>
      <c r="Z62" s="206"/>
      <c r="AA62" s="148">
        <f t="shared" si="36"/>
        <v>865.25</v>
      </c>
      <c r="AB62" s="147">
        <f t="shared" si="37"/>
        <v>0.71</v>
      </c>
      <c r="AC62" s="149">
        <f t="shared" si="38"/>
        <v>88.038492063492072</v>
      </c>
      <c r="AD62" s="149">
        <f t="shared" si="29"/>
        <v>647.03849206349207</v>
      </c>
      <c r="AE62" s="150">
        <v>46</v>
      </c>
    </row>
    <row r="63" spans="1:31" ht="15" x14ac:dyDescent="0.25">
      <c r="A63" s="133">
        <v>47</v>
      </c>
      <c r="B63" s="134">
        <f t="shared" si="39"/>
        <v>0</v>
      </c>
      <c r="C63" s="135">
        <f t="shared" si="40"/>
        <v>5</v>
      </c>
      <c r="D63" s="197"/>
      <c r="E63" s="134">
        <f t="shared" si="30"/>
        <v>0</v>
      </c>
      <c r="F63" s="11">
        <f t="shared" si="24"/>
        <v>9</v>
      </c>
      <c r="G63" s="136">
        <f t="shared" si="25"/>
        <v>568</v>
      </c>
      <c r="H63" s="197"/>
      <c r="I63" s="137">
        <f t="shared" si="41"/>
        <v>5</v>
      </c>
      <c r="J63" s="12">
        <f t="shared" si="42"/>
        <v>0.05</v>
      </c>
      <c r="K63" s="138">
        <f t="shared" si="26"/>
        <v>1.3100000000000007</v>
      </c>
      <c r="L63" s="200"/>
      <c r="M63" s="139">
        <f t="shared" si="31"/>
        <v>65.5</v>
      </c>
      <c r="N63" s="139">
        <f t="shared" si="32"/>
        <v>13.1</v>
      </c>
      <c r="O63" s="140">
        <f t="shared" si="43"/>
        <v>1977</v>
      </c>
      <c r="P63" s="141">
        <f t="shared" si="33"/>
        <v>0.65900000000000003</v>
      </c>
      <c r="Q63" s="127">
        <f t="shared" si="20"/>
        <v>151</v>
      </c>
      <c r="R63" s="142">
        <f t="shared" si="21"/>
        <v>0.27</v>
      </c>
      <c r="S63" s="143">
        <f t="shared" si="16"/>
        <v>156</v>
      </c>
      <c r="T63" s="144">
        <f t="shared" si="22"/>
        <v>0.27</v>
      </c>
      <c r="U63" s="203"/>
      <c r="V63" s="145">
        <f t="shared" si="34"/>
        <v>281.91000000000003</v>
      </c>
      <c r="W63" s="146">
        <f t="shared" si="27"/>
        <v>2258.91</v>
      </c>
      <c r="X63" s="147">
        <f t="shared" si="28"/>
        <v>0.14000000000000001</v>
      </c>
      <c r="Y63" s="147">
        <f t="shared" si="35"/>
        <v>0.09</v>
      </c>
      <c r="Z63" s="206"/>
      <c r="AA63" s="148">
        <f t="shared" si="36"/>
        <v>741.09</v>
      </c>
      <c r="AB63" s="147">
        <f t="shared" si="37"/>
        <v>0.75</v>
      </c>
      <c r="AC63" s="149">
        <f t="shared" si="38"/>
        <v>75.939618320610691</v>
      </c>
      <c r="AD63" s="149">
        <f t="shared" si="29"/>
        <v>643.93961832061063</v>
      </c>
      <c r="AE63" s="150">
        <v>47</v>
      </c>
    </row>
    <row r="64" spans="1:31" ht="15" x14ac:dyDescent="0.25">
      <c r="A64" s="133">
        <v>48</v>
      </c>
      <c r="B64" s="134">
        <f t="shared" si="39"/>
        <v>0</v>
      </c>
      <c r="C64" s="135">
        <f t="shared" si="40"/>
        <v>5</v>
      </c>
      <c r="D64" s="197"/>
      <c r="E64" s="134">
        <f t="shared" si="30"/>
        <v>0</v>
      </c>
      <c r="F64" s="11">
        <f t="shared" si="24"/>
        <v>9</v>
      </c>
      <c r="G64" s="136">
        <f t="shared" si="25"/>
        <v>577</v>
      </c>
      <c r="H64" s="197"/>
      <c r="I64" s="137">
        <f t="shared" si="41"/>
        <v>5.0999999999999996</v>
      </c>
      <c r="J64" s="12">
        <f t="shared" si="42"/>
        <v>5.0999999999999997E-2</v>
      </c>
      <c r="K64" s="138">
        <f t="shared" si="26"/>
        <v>1.3600000000000008</v>
      </c>
      <c r="L64" s="200"/>
      <c r="M64" s="139">
        <f t="shared" si="31"/>
        <v>68</v>
      </c>
      <c r="N64" s="139">
        <f t="shared" si="32"/>
        <v>13.6</v>
      </c>
      <c r="O64" s="140">
        <f t="shared" si="43"/>
        <v>2094.9</v>
      </c>
      <c r="P64" s="141">
        <f t="shared" si="33"/>
        <v>0.69830000000000003</v>
      </c>
      <c r="Q64" s="127">
        <f t="shared" si="20"/>
        <v>154</v>
      </c>
      <c r="R64" s="142">
        <f t="shared" si="21"/>
        <v>0.27</v>
      </c>
      <c r="S64" s="143">
        <f t="shared" si="16"/>
        <v>159</v>
      </c>
      <c r="T64" s="144">
        <f t="shared" si="22"/>
        <v>0.28000000000000003</v>
      </c>
      <c r="U64" s="203"/>
      <c r="V64" s="145">
        <f t="shared" si="34"/>
        <v>292.67</v>
      </c>
      <c r="W64" s="146">
        <f t="shared" si="27"/>
        <v>2387.5700000000002</v>
      </c>
      <c r="X64" s="147">
        <f t="shared" si="28"/>
        <v>0.14000000000000001</v>
      </c>
      <c r="Y64" s="147">
        <f t="shared" si="35"/>
        <v>0.1</v>
      </c>
      <c r="Z64" s="206"/>
      <c r="AA64" s="148">
        <f t="shared" si="36"/>
        <v>612.42999999999995</v>
      </c>
      <c r="AB64" s="147">
        <f t="shared" si="37"/>
        <v>0.8</v>
      </c>
      <c r="AC64" s="149">
        <f t="shared" si="38"/>
        <v>64.399485294117639</v>
      </c>
      <c r="AD64" s="149">
        <f t="shared" si="29"/>
        <v>641.39948529411765</v>
      </c>
      <c r="AE64" s="150">
        <v>48</v>
      </c>
    </row>
    <row r="65" spans="1:31" ht="15" x14ac:dyDescent="0.25">
      <c r="A65" s="133">
        <v>49</v>
      </c>
      <c r="B65" s="134">
        <f t="shared" si="39"/>
        <v>0</v>
      </c>
      <c r="C65" s="135">
        <f t="shared" si="40"/>
        <v>5</v>
      </c>
      <c r="D65" s="197"/>
      <c r="E65" s="134">
        <f t="shared" si="30"/>
        <v>0</v>
      </c>
      <c r="F65" s="11">
        <f t="shared" si="24"/>
        <v>9</v>
      </c>
      <c r="G65" s="136">
        <f t="shared" si="25"/>
        <v>586</v>
      </c>
      <c r="H65" s="197"/>
      <c r="I65" s="137">
        <f t="shared" si="41"/>
        <v>5.2</v>
      </c>
      <c r="J65" s="12">
        <f t="shared" si="42"/>
        <v>5.1999999999999998E-2</v>
      </c>
      <c r="K65" s="138">
        <f t="shared" si="26"/>
        <v>1.4100000000000008</v>
      </c>
      <c r="L65" s="200"/>
      <c r="M65" s="139">
        <f t="shared" si="31"/>
        <v>70.5</v>
      </c>
      <c r="N65" s="139">
        <f t="shared" si="32"/>
        <v>14.1</v>
      </c>
      <c r="O65" s="140">
        <f t="shared" si="43"/>
        <v>2217.3000000000002</v>
      </c>
      <c r="P65" s="141">
        <f t="shared" si="33"/>
        <v>0.73910000000000009</v>
      </c>
      <c r="Q65" s="127">
        <f t="shared" si="20"/>
        <v>157</v>
      </c>
      <c r="R65" s="142">
        <f t="shared" si="21"/>
        <v>0.27</v>
      </c>
      <c r="S65" s="143">
        <f t="shared" si="16"/>
        <v>162</v>
      </c>
      <c r="T65" s="144">
        <f t="shared" si="22"/>
        <v>0.28000000000000003</v>
      </c>
      <c r="U65" s="203"/>
      <c r="V65" s="145">
        <f t="shared" si="34"/>
        <v>303.43</v>
      </c>
      <c r="W65" s="146">
        <f t="shared" si="27"/>
        <v>2520.73</v>
      </c>
      <c r="X65" s="147">
        <f t="shared" si="28"/>
        <v>0.14000000000000001</v>
      </c>
      <c r="Y65" s="147">
        <f t="shared" si="35"/>
        <v>0.1</v>
      </c>
      <c r="Z65" s="206"/>
      <c r="AA65" s="148">
        <f t="shared" si="36"/>
        <v>479.27</v>
      </c>
      <c r="AB65" s="147">
        <f t="shared" si="37"/>
        <v>0.84</v>
      </c>
      <c r="AC65" s="149">
        <f t="shared" si="38"/>
        <v>53.358652482269498</v>
      </c>
      <c r="AD65" s="149">
        <f t="shared" si="29"/>
        <v>639.35865248226946</v>
      </c>
      <c r="AE65" s="150">
        <v>49</v>
      </c>
    </row>
    <row r="66" spans="1:31" ht="15" x14ac:dyDescent="0.25">
      <c r="A66" s="133">
        <v>50</v>
      </c>
      <c r="B66" s="166">
        <f t="shared" si="39"/>
        <v>0</v>
      </c>
      <c r="C66" s="44">
        <f t="shared" si="40"/>
        <v>5</v>
      </c>
      <c r="D66" s="197"/>
      <c r="E66" s="166">
        <f t="shared" si="30"/>
        <v>0</v>
      </c>
      <c r="F66" s="44">
        <f t="shared" si="24"/>
        <v>9</v>
      </c>
      <c r="G66" s="44">
        <f t="shared" si="25"/>
        <v>595</v>
      </c>
      <c r="H66" s="197"/>
      <c r="I66" s="167">
        <f t="shared" si="41"/>
        <v>5.3</v>
      </c>
      <c r="J66" s="45">
        <f t="shared" si="42"/>
        <v>5.2999999999999999E-2</v>
      </c>
      <c r="K66" s="45">
        <f t="shared" si="26"/>
        <v>1.4600000000000009</v>
      </c>
      <c r="L66" s="200"/>
      <c r="M66" s="168">
        <f t="shared" si="31"/>
        <v>73</v>
      </c>
      <c r="N66" s="168">
        <f t="shared" si="32"/>
        <v>14.6</v>
      </c>
      <c r="O66" s="169">
        <f t="shared" si="43"/>
        <v>2344.1999999999998</v>
      </c>
      <c r="P66" s="170">
        <f t="shared" si="33"/>
        <v>0.78139999999999998</v>
      </c>
      <c r="Q66" s="171">
        <f t="shared" si="20"/>
        <v>161</v>
      </c>
      <c r="R66" s="172">
        <f t="shared" si="21"/>
        <v>0.27</v>
      </c>
      <c r="S66" s="173">
        <f t="shared" si="16"/>
        <v>166</v>
      </c>
      <c r="T66" s="172">
        <f t="shared" si="22"/>
        <v>0.28000000000000003</v>
      </c>
      <c r="U66" s="203"/>
      <c r="V66" s="174">
        <f t="shared" si="34"/>
        <v>314.19</v>
      </c>
      <c r="W66" s="175">
        <f t="shared" si="27"/>
        <v>2658.39</v>
      </c>
      <c r="X66" s="176">
        <f t="shared" si="28"/>
        <v>0.13</v>
      </c>
      <c r="Y66" s="176">
        <f t="shared" si="35"/>
        <v>0.1</v>
      </c>
      <c r="Z66" s="206"/>
      <c r="AA66" s="177">
        <f t="shared" si="36"/>
        <v>341.61</v>
      </c>
      <c r="AB66" s="176">
        <f t="shared" si="37"/>
        <v>0.89</v>
      </c>
      <c r="AC66" s="178">
        <f t="shared" si="38"/>
        <v>42.765821917808232</v>
      </c>
      <c r="AD66" s="178">
        <f t="shared" si="29"/>
        <v>637.76582191780824</v>
      </c>
      <c r="AE66" s="150">
        <v>50</v>
      </c>
    </row>
    <row r="67" spans="1:31" ht="15" x14ac:dyDescent="0.25">
      <c r="A67" s="133">
        <v>51</v>
      </c>
      <c r="B67" s="134">
        <f t="shared" si="39"/>
        <v>0</v>
      </c>
      <c r="C67" s="135">
        <f t="shared" si="40"/>
        <v>5</v>
      </c>
      <c r="D67" s="197"/>
      <c r="E67" s="134">
        <f t="shared" si="30"/>
        <v>0</v>
      </c>
      <c r="F67" s="11">
        <f t="shared" si="24"/>
        <v>9</v>
      </c>
      <c r="G67" s="136">
        <f t="shared" si="25"/>
        <v>604</v>
      </c>
      <c r="H67" s="197"/>
      <c r="I67" s="137">
        <f t="shared" si="41"/>
        <v>5.4</v>
      </c>
      <c r="J67" s="12">
        <f t="shared" si="42"/>
        <v>5.3999999999999999E-2</v>
      </c>
      <c r="K67" s="138">
        <f t="shared" si="26"/>
        <v>1.5100000000000009</v>
      </c>
      <c r="L67" s="200"/>
      <c r="M67" s="139">
        <f t="shared" si="31"/>
        <v>75.5</v>
      </c>
      <c r="N67" s="139">
        <f t="shared" si="32"/>
        <v>15.1</v>
      </c>
      <c r="O67" s="140">
        <f t="shared" si="43"/>
        <v>2475.6</v>
      </c>
      <c r="P67" s="141">
        <f t="shared" si="33"/>
        <v>0.82519999999999993</v>
      </c>
      <c r="Q67" s="127">
        <f t="shared" si="20"/>
        <v>164</v>
      </c>
      <c r="R67" s="142">
        <f t="shared" si="21"/>
        <v>0.27</v>
      </c>
      <c r="S67" s="143">
        <f t="shared" si="16"/>
        <v>169</v>
      </c>
      <c r="T67" s="144">
        <f t="shared" si="22"/>
        <v>0.28000000000000003</v>
      </c>
      <c r="U67" s="203"/>
      <c r="V67" s="145">
        <f t="shared" si="34"/>
        <v>324.95</v>
      </c>
      <c r="W67" s="146">
        <f t="shared" si="27"/>
        <v>2800.55</v>
      </c>
      <c r="X67" s="147">
        <f t="shared" si="28"/>
        <v>0.13</v>
      </c>
      <c r="Y67" s="147">
        <f t="shared" si="35"/>
        <v>0.11</v>
      </c>
      <c r="Z67" s="206"/>
      <c r="AA67" s="148">
        <f t="shared" si="36"/>
        <v>199.45</v>
      </c>
      <c r="AB67" s="147">
        <f t="shared" si="37"/>
        <v>0.93</v>
      </c>
      <c r="AC67" s="149">
        <f t="shared" si="38"/>
        <v>32.576490066225169</v>
      </c>
      <c r="AD67" s="149">
        <f t="shared" si="29"/>
        <v>636.57649006622512</v>
      </c>
      <c r="AE67" s="150">
        <v>51</v>
      </c>
    </row>
    <row r="68" spans="1:31" ht="15" x14ac:dyDescent="0.25">
      <c r="A68" s="133">
        <v>52</v>
      </c>
      <c r="B68" s="134">
        <f t="shared" si="39"/>
        <v>0</v>
      </c>
      <c r="C68" s="135">
        <f t="shared" si="40"/>
        <v>5</v>
      </c>
      <c r="D68" s="197"/>
      <c r="E68" s="134">
        <f t="shared" si="30"/>
        <v>0</v>
      </c>
      <c r="F68" s="11">
        <f t="shared" si="24"/>
        <v>9</v>
      </c>
      <c r="G68" s="136">
        <f t="shared" si="25"/>
        <v>613</v>
      </c>
      <c r="H68" s="197"/>
      <c r="I68" s="137">
        <f t="shared" si="41"/>
        <v>5.5</v>
      </c>
      <c r="J68" s="12">
        <f t="shared" si="42"/>
        <v>5.5E-2</v>
      </c>
      <c r="K68" s="138">
        <f t="shared" si="26"/>
        <v>1.570000000000001</v>
      </c>
      <c r="L68" s="200"/>
      <c r="M68" s="139">
        <f t="shared" si="31"/>
        <v>78.5</v>
      </c>
      <c r="N68" s="139">
        <f t="shared" si="32"/>
        <v>15.7</v>
      </c>
      <c r="O68" s="140">
        <f t="shared" si="43"/>
        <v>2611.5</v>
      </c>
      <c r="P68" s="141">
        <f t="shared" si="33"/>
        <v>0.87050000000000005</v>
      </c>
      <c r="Q68" s="127">
        <f t="shared" si="20"/>
        <v>166</v>
      </c>
      <c r="R68" s="142">
        <f t="shared" si="21"/>
        <v>0.27</v>
      </c>
      <c r="S68" s="143">
        <f t="shared" si="16"/>
        <v>171</v>
      </c>
      <c r="T68" s="144">
        <f t="shared" si="22"/>
        <v>0.28000000000000003</v>
      </c>
      <c r="U68" s="203"/>
      <c r="V68" s="145">
        <f t="shared" si="34"/>
        <v>337.86</v>
      </c>
      <c r="W68" s="146">
        <f t="shared" si="27"/>
        <v>2949.36</v>
      </c>
      <c r="X68" s="147">
        <f t="shared" si="28"/>
        <v>0.13</v>
      </c>
      <c r="Y68" s="147">
        <f t="shared" si="35"/>
        <v>0.11</v>
      </c>
      <c r="Z68" s="206"/>
      <c r="AA68" s="148">
        <f t="shared" si="36"/>
        <v>50.64</v>
      </c>
      <c r="AB68" s="147">
        <f t="shared" si="37"/>
        <v>0.98</v>
      </c>
      <c r="AC68" s="149">
        <f t="shared" si="38"/>
        <v>22.593248407643312</v>
      </c>
      <c r="AD68" s="149">
        <f t="shared" si="29"/>
        <v>635.59324840764327</v>
      </c>
      <c r="AE68" s="150">
        <v>52</v>
      </c>
    </row>
    <row r="69" spans="1:31" ht="15" x14ac:dyDescent="0.25">
      <c r="A69" s="133">
        <v>53</v>
      </c>
      <c r="B69" s="134">
        <f t="shared" si="39"/>
        <v>0</v>
      </c>
      <c r="C69" s="135">
        <f t="shared" si="40"/>
        <v>5</v>
      </c>
      <c r="D69" s="197"/>
      <c r="E69" s="134">
        <f t="shared" si="30"/>
        <v>0</v>
      </c>
      <c r="F69" s="11">
        <f t="shared" si="24"/>
        <v>9</v>
      </c>
      <c r="G69" s="136">
        <f t="shared" si="25"/>
        <v>622</v>
      </c>
      <c r="H69" s="197"/>
      <c r="I69" s="137">
        <f t="shared" si="41"/>
        <v>5.6</v>
      </c>
      <c r="J69" s="12">
        <f t="shared" si="42"/>
        <v>5.6000000000000001E-2</v>
      </c>
      <c r="K69" s="138">
        <f t="shared" si="26"/>
        <v>1.630000000000001</v>
      </c>
      <c r="L69" s="200"/>
      <c r="M69" s="139">
        <f t="shared" si="31"/>
        <v>81.5</v>
      </c>
      <c r="N69" s="139">
        <f t="shared" si="32"/>
        <v>16.3</v>
      </c>
      <c r="O69" s="140">
        <f t="shared" si="43"/>
        <v>2752.8</v>
      </c>
      <c r="P69" s="141">
        <f t="shared" si="33"/>
        <v>0.91760000000000008</v>
      </c>
      <c r="Q69" s="127">
        <f t="shared" si="20"/>
        <v>169</v>
      </c>
      <c r="R69" s="142">
        <f t="shared" si="21"/>
        <v>0.27</v>
      </c>
      <c r="S69" s="143">
        <f t="shared" si="16"/>
        <v>174</v>
      </c>
      <c r="T69" s="144">
        <f t="shared" si="22"/>
        <v>0.28000000000000003</v>
      </c>
      <c r="U69" s="203"/>
      <c r="V69" s="145">
        <f t="shared" si="34"/>
        <v>350.78</v>
      </c>
      <c r="W69" s="146">
        <f t="shared" si="27"/>
        <v>3103.58</v>
      </c>
      <c r="X69" s="147">
        <f t="shared" si="28"/>
        <v>0.13</v>
      </c>
      <c r="Y69" s="147">
        <f t="shared" si="35"/>
        <v>0.12</v>
      </c>
      <c r="Z69" s="206"/>
      <c r="AA69" s="148">
        <f t="shared" si="36"/>
        <v>-103.58</v>
      </c>
      <c r="AB69" s="147">
        <f t="shared" si="37"/>
        <v>1.03</v>
      </c>
      <c r="AC69" s="149">
        <f t="shared" si="38"/>
        <v>0</v>
      </c>
      <c r="AD69" s="149">
        <f t="shared" si="29"/>
        <v>0</v>
      </c>
      <c r="AE69" s="150">
        <v>53</v>
      </c>
    </row>
    <row r="70" spans="1:31" ht="15" x14ac:dyDescent="0.25">
      <c r="A70" s="133">
        <v>54</v>
      </c>
      <c r="B70" s="134">
        <f t="shared" si="39"/>
        <v>0</v>
      </c>
      <c r="C70" s="135">
        <f t="shared" si="40"/>
        <v>5</v>
      </c>
      <c r="D70" s="197"/>
      <c r="E70" s="134">
        <f t="shared" si="30"/>
        <v>0</v>
      </c>
      <c r="F70" s="11">
        <f t="shared" si="24"/>
        <v>9</v>
      </c>
      <c r="G70" s="136">
        <f t="shared" si="25"/>
        <v>631</v>
      </c>
      <c r="H70" s="197"/>
      <c r="I70" s="137">
        <f t="shared" si="41"/>
        <v>5.7</v>
      </c>
      <c r="J70" s="12">
        <f t="shared" si="42"/>
        <v>5.7000000000000002E-2</v>
      </c>
      <c r="K70" s="138">
        <f t="shared" si="26"/>
        <v>1.6900000000000011</v>
      </c>
      <c r="L70" s="200"/>
      <c r="M70" s="139">
        <f t="shared" si="31"/>
        <v>84.5</v>
      </c>
      <c r="N70" s="139">
        <f t="shared" si="32"/>
        <v>16.899999999999999</v>
      </c>
      <c r="O70" s="140">
        <f t="shared" si="43"/>
        <v>2899.5</v>
      </c>
      <c r="P70" s="141">
        <f t="shared" si="33"/>
        <v>0.96650000000000003</v>
      </c>
      <c r="Q70" s="127">
        <f t="shared" si="20"/>
        <v>172</v>
      </c>
      <c r="R70" s="142">
        <f t="shared" si="21"/>
        <v>0.27</v>
      </c>
      <c r="S70" s="143">
        <f t="shared" si="16"/>
        <v>177</v>
      </c>
      <c r="T70" s="144">
        <f t="shared" si="22"/>
        <v>0.28000000000000003</v>
      </c>
      <c r="U70" s="203"/>
      <c r="V70" s="145">
        <f t="shared" si="34"/>
        <v>363.69</v>
      </c>
      <c r="W70" s="146">
        <f t="shared" si="27"/>
        <v>3263.19</v>
      </c>
      <c r="X70" s="147">
        <f t="shared" si="28"/>
        <v>0.13</v>
      </c>
      <c r="Y70" s="147">
        <f t="shared" si="35"/>
        <v>0.12</v>
      </c>
      <c r="Z70" s="206"/>
      <c r="AA70" s="148">
        <f t="shared" si="36"/>
        <v>-263.19</v>
      </c>
      <c r="AB70" s="147">
        <f t="shared" si="37"/>
        <v>1.0900000000000001</v>
      </c>
      <c r="AC70" s="149">
        <f t="shared" si="38"/>
        <v>0</v>
      </c>
      <c r="AD70" s="149">
        <f t="shared" si="29"/>
        <v>0</v>
      </c>
      <c r="AE70" s="150">
        <v>54</v>
      </c>
    </row>
    <row r="71" spans="1:31" ht="15" x14ac:dyDescent="0.25">
      <c r="A71" s="133">
        <v>55</v>
      </c>
      <c r="B71" s="166">
        <f t="shared" si="39"/>
        <v>0</v>
      </c>
      <c r="C71" s="44">
        <f t="shared" si="40"/>
        <v>5</v>
      </c>
      <c r="D71" s="197"/>
      <c r="E71" s="166">
        <f t="shared" si="30"/>
        <v>0</v>
      </c>
      <c r="F71" s="44">
        <f t="shared" si="24"/>
        <v>9</v>
      </c>
      <c r="G71" s="44">
        <f t="shared" si="25"/>
        <v>640</v>
      </c>
      <c r="H71" s="197"/>
      <c r="I71" s="167">
        <f t="shared" si="41"/>
        <v>5.8</v>
      </c>
      <c r="J71" s="45">
        <f t="shared" si="42"/>
        <v>5.8000000000000003E-2</v>
      </c>
      <c r="K71" s="45">
        <f t="shared" si="26"/>
        <v>1.7500000000000011</v>
      </c>
      <c r="L71" s="200"/>
      <c r="M71" s="168">
        <f t="shared" si="31"/>
        <v>87.5</v>
      </c>
      <c r="N71" s="168">
        <f t="shared" si="32"/>
        <v>17.5</v>
      </c>
      <c r="O71" s="169">
        <f t="shared" si="43"/>
        <v>3051.6</v>
      </c>
      <c r="P71" s="170">
        <f t="shared" si="33"/>
        <v>1.0171999999999999</v>
      </c>
      <c r="Q71" s="171">
        <f t="shared" si="20"/>
        <v>174</v>
      </c>
      <c r="R71" s="172">
        <f t="shared" si="21"/>
        <v>0.27</v>
      </c>
      <c r="S71" s="173">
        <f t="shared" si="16"/>
        <v>179</v>
      </c>
      <c r="T71" s="172">
        <f t="shared" si="22"/>
        <v>0.28000000000000003</v>
      </c>
      <c r="U71" s="203"/>
      <c r="V71" s="174">
        <f t="shared" si="34"/>
        <v>376.6</v>
      </c>
      <c r="W71" s="175">
        <f t="shared" si="27"/>
        <v>3428.2</v>
      </c>
      <c r="X71" s="176">
        <f t="shared" si="28"/>
        <v>0.12</v>
      </c>
      <c r="Y71" s="176">
        <f t="shared" si="35"/>
        <v>0.13</v>
      </c>
      <c r="Z71" s="206"/>
      <c r="AA71" s="177">
        <f t="shared" si="36"/>
        <v>-428.2</v>
      </c>
      <c r="AB71" s="176">
        <f t="shared" si="37"/>
        <v>1.1399999999999999</v>
      </c>
      <c r="AC71" s="178">
        <f t="shared" si="38"/>
        <v>0</v>
      </c>
      <c r="AD71" s="178">
        <f t="shared" si="29"/>
        <v>0</v>
      </c>
      <c r="AE71" s="150">
        <v>55</v>
      </c>
    </row>
    <row r="72" spans="1:31" ht="15" x14ac:dyDescent="0.25">
      <c r="A72" s="133">
        <v>56</v>
      </c>
      <c r="B72" s="134">
        <f t="shared" si="39"/>
        <v>0</v>
      </c>
      <c r="C72" s="135">
        <f t="shared" si="40"/>
        <v>5</v>
      </c>
      <c r="D72" s="197"/>
      <c r="E72" s="134">
        <f t="shared" si="30"/>
        <v>0</v>
      </c>
      <c r="F72" s="11">
        <f t="shared" si="24"/>
        <v>9</v>
      </c>
      <c r="G72" s="136">
        <f t="shared" si="25"/>
        <v>649</v>
      </c>
      <c r="H72" s="197"/>
      <c r="I72" s="137">
        <f t="shared" si="41"/>
        <v>5.9</v>
      </c>
      <c r="J72" s="12">
        <f t="shared" si="42"/>
        <v>5.8999999999999997E-2</v>
      </c>
      <c r="K72" s="138">
        <f t="shared" si="26"/>
        <v>1.8100000000000012</v>
      </c>
      <c r="L72" s="200"/>
      <c r="M72" s="139">
        <f t="shared" si="31"/>
        <v>90.5</v>
      </c>
      <c r="N72" s="139">
        <f t="shared" si="32"/>
        <v>18.100000000000001</v>
      </c>
      <c r="O72" s="140">
        <f t="shared" si="43"/>
        <v>3209.1</v>
      </c>
      <c r="P72" s="141">
        <f t="shared" si="33"/>
        <v>1.0696999999999999</v>
      </c>
      <c r="Q72" s="127">
        <f t="shared" si="20"/>
        <v>177</v>
      </c>
      <c r="R72" s="142">
        <f t="shared" si="21"/>
        <v>0.27</v>
      </c>
      <c r="S72" s="143">
        <f t="shared" si="16"/>
        <v>182</v>
      </c>
      <c r="T72" s="144">
        <f t="shared" si="22"/>
        <v>0.28000000000000003</v>
      </c>
      <c r="U72" s="203"/>
      <c r="V72" s="145">
        <f t="shared" si="34"/>
        <v>389.51</v>
      </c>
      <c r="W72" s="146">
        <f t="shared" si="27"/>
        <v>3598.61</v>
      </c>
      <c r="X72" s="147">
        <f t="shared" si="28"/>
        <v>0.12</v>
      </c>
      <c r="Y72" s="147">
        <f t="shared" si="35"/>
        <v>0.13</v>
      </c>
      <c r="Z72" s="206"/>
      <c r="AA72" s="148">
        <f t="shared" si="36"/>
        <v>-598.61</v>
      </c>
      <c r="AB72" s="147">
        <f t="shared" si="37"/>
        <v>1.2</v>
      </c>
      <c r="AC72" s="149">
        <f t="shared" si="38"/>
        <v>0</v>
      </c>
      <c r="AD72" s="149">
        <f t="shared" si="29"/>
        <v>0</v>
      </c>
      <c r="AE72" s="150">
        <v>56</v>
      </c>
    </row>
    <row r="73" spans="1:31" ht="15" x14ac:dyDescent="0.25">
      <c r="A73" s="133">
        <v>57</v>
      </c>
      <c r="B73" s="134">
        <f t="shared" si="39"/>
        <v>0</v>
      </c>
      <c r="C73" s="135">
        <f t="shared" si="40"/>
        <v>5</v>
      </c>
      <c r="D73" s="197"/>
      <c r="E73" s="134">
        <f t="shared" si="30"/>
        <v>0</v>
      </c>
      <c r="F73" s="11">
        <f t="shared" si="24"/>
        <v>9</v>
      </c>
      <c r="G73" s="136">
        <f t="shared" si="25"/>
        <v>658</v>
      </c>
      <c r="H73" s="197"/>
      <c r="I73" s="137">
        <f t="shared" si="41"/>
        <v>6</v>
      </c>
      <c r="J73" s="12">
        <f t="shared" si="42"/>
        <v>0.06</v>
      </c>
      <c r="K73" s="138">
        <f t="shared" si="26"/>
        <v>1.8700000000000012</v>
      </c>
      <c r="L73" s="200"/>
      <c r="M73" s="139">
        <f t="shared" si="31"/>
        <v>93.5</v>
      </c>
      <c r="N73" s="139">
        <f t="shared" si="32"/>
        <v>18.7</v>
      </c>
      <c r="O73" s="140">
        <f t="shared" si="43"/>
        <v>3372</v>
      </c>
      <c r="P73" s="141">
        <f t="shared" si="33"/>
        <v>1.1240000000000001</v>
      </c>
      <c r="Q73" s="127">
        <f t="shared" si="20"/>
        <v>180</v>
      </c>
      <c r="R73" s="142">
        <f t="shared" si="21"/>
        <v>0.27</v>
      </c>
      <c r="S73" s="143">
        <f t="shared" si="16"/>
        <v>185</v>
      </c>
      <c r="T73" s="144">
        <f t="shared" si="22"/>
        <v>0.28000000000000003</v>
      </c>
      <c r="U73" s="203"/>
      <c r="V73" s="145">
        <f t="shared" si="34"/>
        <v>402.42</v>
      </c>
      <c r="W73" s="146">
        <f t="shared" si="27"/>
        <v>3774.42</v>
      </c>
      <c r="X73" s="147">
        <f t="shared" si="28"/>
        <v>0.12</v>
      </c>
      <c r="Y73" s="147">
        <f t="shared" si="35"/>
        <v>0.13</v>
      </c>
      <c r="Z73" s="206"/>
      <c r="AA73" s="148">
        <f t="shared" si="36"/>
        <v>-774.42</v>
      </c>
      <c r="AB73" s="147">
        <f t="shared" si="37"/>
        <v>1.26</v>
      </c>
      <c r="AC73" s="149">
        <f t="shared" si="38"/>
        <v>0</v>
      </c>
      <c r="AD73" s="149">
        <f t="shared" si="29"/>
        <v>0</v>
      </c>
      <c r="AE73" s="150">
        <v>57</v>
      </c>
    </row>
    <row r="74" spans="1:31" ht="15" x14ac:dyDescent="0.25">
      <c r="A74" s="133">
        <v>58</v>
      </c>
      <c r="B74" s="134">
        <f t="shared" si="39"/>
        <v>0</v>
      </c>
      <c r="C74" s="135">
        <f t="shared" si="40"/>
        <v>5</v>
      </c>
      <c r="D74" s="197"/>
      <c r="E74" s="134">
        <f t="shared" si="30"/>
        <v>0</v>
      </c>
      <c r="F74" s="11">
        <f t="shared" si="24"/>
        <v>9</v>
      </c>
      <c r="G74" s="136">
        <f t="shared" si="25"/>
        <v>667</v>
      </c>
      <c r="H74" s="197"/>
      <c r="I74" s="137">
        <f t="shared" si="41"/>
        <v>6.1</v>
      </c>
      <c r="J74" s="12">
        <f t="shared" si="42"/>
        <v>6.0999999999999999E-2</v>
      </c>
      <c r="K74" s="138">
        <f t="shared" si="26"/>
        <v>1.9300000000000013</v>
      </c>
      <c r="L74" s="200"/>
      <c r="M74" s="139">
        <f t="shared" si="31"/>
        <v>96.5</v>
      </c>
      <c r="N74" s="139">
        <f t="shared" si="32"/>
        <v>19.3</v>
      </c>
      <c r="O74" s="140">
        <f t="shared" si="43"/>
        <v>3540.3</v>
      </c>
      <c r="P74" s="141">
        <f t="shared" si="33"/>
        <v>1.1801000000000001</v>
      </c>
      <c r="Q74" s="127">
        <f t="shared" si="20"/>
        <v>183</v>
      </c>
      <c r="R74" s="142">
        <f t="shared" si="21"/>
        <v>0.27</v>
      </c>
      <c r="S74" s="143">
        <f t="shared" si="16"/>
        <v>188</v>
      </c>
      <c r="T74" s="144">
        <f t="shared" si="22"/>
        <v>0.28000000000000003</v>
      </c>
      <c r="U74" s="203"/>
      <c r="V74" s="145">
        <f t="shared" si="34"/>
        <v>415.34</v>
      </c>
      <c r="W74" s="146">
        <f t="shared" si="27"/>
        <v>3955.64</v>
      </c>
      <c r="X74" s="147">
        <f t="shared" si="28"/>
        <v>0.12</v>
      </c>
      <c r="Y74" s="147">
        <f t="shared" si="35"/>
        <v>0.14000000000000001</v>
      </c>
      <c r="Z74" s="206"/>
      <c r="AA74" s="148">
        <f t="shared" si="36"/>
        <v>-955.64</v>
      </c>
      <c r="AB74" s="147">
        <f t="shared" si="37"/>
        <v>1.32</v>
      </c>
      <c r="AC74" s="149">
        <f t="shared" si="38"/>
        <v>0</v>
      </c>
      <c r="AD74" s="149">
        <f t="shared" si="29"/>
        <v>0</v>
      </c>
      <c r="AE74" s="150">
        <v>58</v>
      </c>
    </row>
    <row r="75" spans="1:31" ht="15" x14ac:dyDescent="0.25">
      <c r="A75" s="133">
        <v>59</v>
      </c>
      <c r="B75" s="134">
        <f t="shared" si="39"/>
        <v>0</v>
      </c>
      <c r="C75" s="135">
        <f t="shared" si="40"/>
        <v>5</v>
      </c>
      <c r="D75" s="197"/>
      <c r="E75" s="134">
        <f t="shared" si="30"/>
        <v>0</v>
      </c>
      <c r="F75" s="11">
        <f t="shared" si="24"/>
        <v>9</v>
      </c>
      <c r="G75" s="136">
        <f t="shared" si="25"/>
        <v>676</v>
      </c>
      <c r="H75" s="197"/>
      <c r="I75" s="137">
        <f t="shared" si="41"/>
        <v>6.2</v>
      </c>
      <c r="J75" s="12">
        <f t="shared" si="42"/>
        <v>6.2E-2</v>
      </c>
      <c r="K75" s="138">
        <f t="shared" si="26"/>
        <v>1.9900000000000013</v>
      </c>
      <c r="L75" s="200"/>
      <c r="M75" s="139">
        <f t="shared" si="31"/>
        <v>99.5</v>
      </c>
      <c r="N75" s="139">
        <f t="shared" si="32"/>
        <v>19.899999999999999</v>
      </c>
      <c r="O75" s="140">
        <f t="shared" si="43"/>
        <v>3714</v>
      </c>
      <c r="P75" s="141">
        <f t="shared" si="33"/>
        <v>1.238</v>
      </c>
      <c r="Q75" s="127">
        <f t="shared" si="20"/>
        <v>187</v>
      </c>
      <c r="R75" s="142">
        <f t="shared" si="21"/>
        <v>0.28000000000000003</v>
      </c>
      <c r="S75" s="143">
        <f t="shared" si="16"/>
        <v>192</v>
      </c>
      <c r="T75" s="144">
        <f t="shared" si="22"/>
        <v>0.28000000000000003</v>
      </c>
      <c r="U75" s="203"/>
      <c r="V75" s="145">
        <f t="shared" si="34"/>
        <v>428.25</v>
      </c>
      <c r="W75" s="146">
        <f t="shared" si="27"/>
        <v>4142.25</v>
      </c>
      <c r="X75" s="147">
        <f t="shared" si="28"/>
        <v>0.12</v>
      </c>
      <c r="Y75" s="147">
        <f t="shared" si="35"/>
        <v>0.14000000000000001</v>
      </c>
      <c r="Z75" s="206"/>
      <c r="AA75" s="148">
        <f t="shared" si="36"/>
        <v>-1142.25</v>
      </c>
      <c r="AB75" s="147">
        <f t="shared" si="37"/>
        <v>1.38</v>
      </c>
      <c r="AC75" s="149">
        <f t="shared" si="38"/>
        <v>0</v>
      </c>
      <c r="AD75" s="149">
        <f t="shared" si="29"/>
        <v>0</v>
      </c>
      <c r="AE75" s="150">
        <v>59</v>
      </c>
    </row>
    <row r="76" spans="1:31" ht="15" x14ac:dyDescent="0.25">
      <c r="A76" s="133">
        <v>60</v>
      </c>
      <c r="B76" s="166">
        <f t="shared" si="39"/>
        <v>0</v>
      </c>
      <c r="C76" s="44">
        <f t="shared" si="40"/>
        <v>5</v>
      </c>
      <c r="D76" s="197"/>
      <c r="E76" s="166">
        <f t="shared" si="30"/>
        <v>0</v>
      </c>
      <c r="F76" s="44">
        <f t="shared" si="24"/>
        <v>9</v>
      </c>
      <c r="G76" s="44">
        <f t="shared" si="25"/>
        <v>685</v>
      </c>
      <c r="H76" s="197"/>
      <c r="I76" s="167">
        <f t="shared" si="41"/>
        <v>6.3</v>
      </c>
      <c r="J76" s="45">
        <f t="shared" si="42"/>
        <v>6.3E-2</v>
      </c>
      <c r="K76" s="45">
        <f t="shared" si="26"/>
        <v>2.0500000000000012</v>
      </c>
      <c r="L76" s="200"/>
      <c r="M76" s="168">
        <f t="shared" si="31"/>
        <v>102.5</v>
      </c>
      <c r="N76" s="168">
        <f t="shared" si="32"/>
        <v>20.5</v>
      </c>
      <c r="O76" s="169">
        <f t="shared" si="43"/>
        <v>3893.1</v>
      </c>
      <c r="P76" s="170">
        <f t="shared" si="33"/>
        <v>1.2977000000000001</v>
      </c>
      <c r="Q76" s="171">
        <f t="shared" si="20"/>
        <v>190</v>
      </c>
      <c r="R76" s="172">
        <f t="shared" si="21"/>
        <v>0.28000000000000003</v>
      </c>
      <c r="S76" s="173">
        <f t="shared" si="16"/>
        <v>195</v>
      </c>
      <c r="T76" s="172">
        <f t="shared" si="22"/>
        <v>0.28000000000000003</v>
      </c>
      <c r="U76" s="203"/>
      <c r="V76" s="174">
        <f t="shared" si="34"/>
        <v>441.16</v>
      </c>
      <c r="W76" s="175">
        <f t="shared" si="27"/>
        <v>4334.26</v>
      </c>
      <c r="X76" s="176">
        <f t="shared" si="28"/>
        <v>0.11</v>
      </c>
      <c r="Y76" s="176">
        <f t="shared" si="35"/>
        <v>0.15</v>
      </c>
      <c r="Z76" s="206"/>
      <c r="AA76" s="177">
        <f t="shared" si="36"/>
        <v>-1334.26</v>
      </c>
      <c r="AB76" s="176">
        <f t="shared" si="37"/>
        <v>1.44</v>
      </c>
      <c r="AC76" s="178">
        <f t="shared" si="38"/>
        <v>0</v>
      </c>
      <c r="AD76" s="178">
        <f t="shared" si="29"/>
        <v>0</v>
      </c>
      <c r="AE76" s="150">
        <v>60</v>
      </c>
    </row>
    <row r="77" spans="1:31" ht="15" x14ac:dyDescent="0.25">
      <c r="A77" s="133">
        <v>61</v>
      </c>
      <c r="B77" s="134">
        <f t="shared" si="39"/>
        <v>0</v>
      </c>
      <c r="C77" s="135">
        <f t="shared" si="40"/>
        <v>5</v>
      </c>
      <c r="D77" s="197"/>
      <c r="E77" s="134">
        <f t="shared" si="30"/>
        <v>0</v>
      </c>
      <c r="F77" s="11">
        <f t="shared" si="24"/>
        <v>9</v>
      </c>
      <c r="G77" s="136">
        <f t="shared" si="25"/>
        <v>694</v>
      </c>
      <c r="H77" s="197"/>
      <c r="I77" s="137">
        <f t="shared" si="41"/>
        <v>6.4</v>
      </c>
      <c r="J77" s="12">
        <f t="shared" si="42"/>
        <v>6.4000000000000001E-2</v>
      </c>
      <c r="K77" s="138">
        <f t="shared" si="26"/>
        <v>2.1100000000000012</v>
      </c>
      <c r="L77" s="200"/>
      <c r="M77" s="139">
        <f t="shared" si="31"/>
        <v>105.5</v>
      </c>
      <c r="N77" s="139">
        <f t="shared" si="32"/>
        <v>21.1</v>
      </c>
      <c r="O77" s="140">
        <f t="shared" si="43"/>
        <v>4077.6</v>
      </c>
      <c r="P77" s="141">
        <f t="shared" si="33"/>
        <v>1.3592</v>
      </c>
      <c r="Q77" s="127">
        <f t="shared" si="20"/>
        <v>193</v>
      </c>
      <c r="R77" s="142">
        <f t="shared" si="21"/>
        <v>0.28000000000000003</v>
      </c>
      <c r="S77" s="143">
        <f t="shared" si="16"/>
        <v>198</v>
      </c>
      <c r="T77" s="144">
        <f t="shared" si="22"/>
        <v>0.28999999999999998</v>
      </c>
      <c r="U77" s="203"/>
      <c r="V77" s="145">
        <f t="shared" si="34"/>
        <v>454.07</v>
      </c>
      <c r="W77" s="146">
        <f t="shared" si="27"/>
        <v>4531.67</v>
      </c>
      <c r="X77" s="147">
        <f t="shared" si="28"/>
        <v>0.11</v>
      </c>
      <c r="Y77" s="147">
        <f t="shared" si="35"/>
        <v>0.15</v>
      </c>
      <c r="Z77" s="206"/>
      <c r="AA77" s="148">
        <f t="shared" si="36"/>
        <v>-1531.67</v>
      </c>
      <c r="AB77" s="147">
        <f t="shared" si="37"/>
        <v>1.51</v>
      </c>
      <c r="AC77" s="149">
        <f t="shared" si="38"/>
        <v>0</v>
      </c>
      <c r="AD77" s="149">
        <f t="shared" si="29"/>
        <v>0</v>
      </c>
      <c r="AE77" s="150">
        <v>61</v>
      </c>
    </row>
    <row r="78" spans="1:31" ht="15" x14ac:dyDescent="0.25">
      <c r="A78" s="133">
        <v>62</v>
      </c>
      <c r="B78" s="134">
        <f t="shared" si="39"/>
        <v>0</v>
      </c>
      <c r="C78" s="135">
        <f t="shared" si="40"/>
        <v>5</v>
      </c>
      <c r="D78" s="197"/>
      <c r="E78" s="134">
        <f t="shared" si="30"/>
        <v>0</v>
      </c>
      <c r="F78" s="11">
        <f t="shared" si="24"/>
        <v>9</v>
      </c>
      <c r="G78" s="136">
        <f t="shared" si="25"/>
        <v>703</v>
      </c>
      <c r="H78" s="197"/>
      <c r="I78" s="137">
        <f t="shared" si="41"/>
        <v>6.5</v>
      </c>
      <c r="J78" s="12">
        <f t="shared" si="42"/>
        <v>6.5000000000000002E-2</v>
      </c>
      <c r="K78" s="138">
        <f t="shared" si="26"/>
        <v>2.180000000000001</v>
      </c>
      <c r="L78" s="200"/>
      <c r="M78" s="139">
        <f t="shared" si="31"/>
        <v>109</v>
      </c>
      <c r="N78" s="139">
        <f t="shared" si="32"/>
        <v>21.8</v>
      </c>
      <c r="O78" s="140">
        <f t="shared" si="43"/>
        <v>4267.5</v>
      </c>
      <c r="P78" s="141">
        <f t="shared" si="33"/>
        <v>1.4225000000000001</v>
      </c>
      <c r="Q78" s="127">
        <f t="shared" si="20"/>
        <v>196</v>
      </c>
      <c r="R78" s="142">
        <f t="shared" si="21"/>
        <v>0.28000000000000003</v>
      </c>
      <c r="S78" s="143">
        <f t="shared" si="16"/>
        <v>201</v>
      </c>
      <c r="T78" s="144">
        <f t="shared" si="22"/>
        <v>0.28999999999999998</v>
      </c>
      <c r="U78" s="203"/>
      <c r="V78" s="145">
        <f t="shared" si="34"/>
        <v>469.14</v>
      </c>
      <c r="W78" s="146">
        <f t="shared" si="27"/>
        <v>4736.6400000000003</v>
      </c>
      <c r="X78" s="147">
        <f t="shared" si="28"/>
        <v>0.11</v>
      </c>
      <c r="Y78" s="147">
        <f t="shared" si="35"/>
        <v>0.16</v>
      </c>
      <c r="Z78" s="206"/>
      <c r="AA78" s="148">
        <f t="shared" si="36"/>
        <v>-1736.64</v>
      </c>
      <c r="AB78" s="147">
        <f t="shared" si="37"/>
        <v>1.58</v>
      </c>
      <c r="AC78" s="149">
        <f t="shared" si="38"/>
        <v>0</v>
      </c>
      <c r="AD78" s="149">
        <f t="shared" si="29"/>
        <v>0</v>
      </c>
      <c r="AE78" s="150">
        <v>62</v>
      </c>
    </row>
    <row r="79" spans="1:31" ht="15" x14ac:dyDescent="0.25">
      <c r="A79" s="133">
        <v>63</v>
      </c>
      <c r="B79" s="134">
        <f t="shared" si="39"/>
        <v>0</v>
      </c>
      <c r="C79" s="135">
        <f t="shared" si="40"/>
        <v>5</v>
      </c>
      <c r="D79" s="197"/>
      <c r="E79" s="134">
        <f t="shared" si="30"/>
        <v>0</v>
      </c>
      <c r="F79" s="11">
        <f t="shared" si="24"/>
        <v>9</v>
      </c>
      <c r="G79" s="136">
        <f t="shared" si="25"/>
        <v>712</v>
      </c>
      <c r="H79" s="197"/>
      <c r="I79" s="137">
        <f t="shared" si="41"/>
        <v>6.6</v>
      </c>
      <c r="J79" s="12">
        <f t="shared" si="42"/>
        <v>6.6000000000000003E-2</v>
      </c>
      <c r="K79" s="138">
        <f t="shared" si="26"/>
        <v>2.2500000000000009</v>
      </c>
      <c r="L79" s="200"/>
      <c r="M79" s="139">
        <f t="shared" si="31"/>
        <v>112.5</v>
      </c>
      <c r="N79" s="139">
        <f t="shared" si="32"/>
        <v>22.5</v>
      </c>
      <c r="O79" s="140">
        <f t="shared" si="43"/>
        <v>4463.7</v>
      </c>
      <c r="P79" s="141">
        <f t="shared" si="33"/>
        <v>1.4879</v>
      </c>
      <c r="Q79" s="127">
        <f t="shared" si="20"/>
        <v>198</v>
      </c>
      <c r="R79" s="142">
        <f t="shared" si="21"/>
        <v>0.28000000000000003</v>
      </c>
      <c r="S79" s="143">
        <f t="shared" si="16"/>
        <v>203</v>
      </c>
      <c r="T79" s="144">
        <f t="shared" si="22"/>
        <v>0.28999999999999998</v>
      </c>
      <c r="U79" s="203"/>
      <c r="V79" s="145">
        <f t="shared" si="34"/>
        <v>484.2</v>
      </c>
      <c r="W79" s="146">
        <f t="shared" si="27"/>
        <v>4947.8999999999996</v>
      </c>
      <c r="X79" s="147">
        <f t="shared" si="28"/>
        <v>0.11</v>
      </c>
      <c r="Y79" s="147">
        <f t="shared" si="35"/>
        <v>0.16</v>
      </c>
      <c r="Z79" s="206"/>
      <c r="AA79" s="148">
        <f t="shared" si="36"/>
        <v>-1947.9</v>
      </c>
      <c r="AB79" s="147">
        <f t="shared" si="37"/>
        <v>1.65</v>
      </c>
      <c r="AC79" s="149">
        <f t="shared" si="38"/>
        <v>0</v>
      </c>
      <c r="AD79" s="149">
        <f t="shared" si="29"/>
        <v>0</v>
      </c>
      <c r="AE79" s="150">
        <v>63</v>
      </c>
    </row>
    <row r="80" spans="1:31" ht="15" x14ac:dyDescent="0.25">
      <c r="A80" s="133">
        <v>64</v>
      </c>
      <c r="B80" s="134">
        <f t="shared" si="39"/>
        <v>0</v>
      </c>
      <c r="C80" s="135">
        <f t="shared" si="40"/>
        <v>5</v>
      </c>
      <c r="D80" s="197"/>
      <c r="E80" s="134">
        <f t="shared" si="30"/>
        <v>0</v>
      </c>
      <c r="F80" s="11">
        <f t="shared" si="24"/>
        <v>9</v>
      </c>
      <c r="G80" s="136">
        <f t="shared" si="25"/>
        <v>721</v>
      </c>
      <c r="H80" s="197"/>
      <c r="I80" s="137">
        <f t="shared" si="41"/>
        <v>6.7</v>
      </c>
      <c r="J80" s="12">
        <f t="shared" si="42"/>
        <v>6.7000000000000004E-2</v>
      </c>
      <c r="K80" s="138">
        <f t="shared" si="26"/>
        <v>2.3200000000000007</v>
      </c>
      <c r="L80" s="200"/>
      <c r="M80" s="139">
        <f t="shared" si="31"/>
        <v>116</v>
      </c>
      <c r="N80" s="139">
        <f t="shared" si="32"/>
        <v>23.2</v>
      </c>
      <c r="O80" s="140">
        <f t="shared" si="43"/>
        <v>4666.2</v>
      </c>
      <c r="P80" s="141">
        <f t="shared" si="33"/>
        <v>1.5553999999999999</v>
      </c>
      <c r="Q80" s="127">
        <f t="shared" si="20"/>
        <v>201</v>
      </c>
      <c r="R80" s="142">
        <f t="shared" si="21"/>
        <v>0.28000000000000003</v>
      </c>
      <c r="S80" s="143">
        <f t="shared" si="16"/>
        <v>206</v>
      </c>
      <c r="T80" s="144">
        <f t="shared" si="22"/>
        <v>0.28999999999999998</v>
      </c>
      <c r="U80" s="203"/>
      <c r="V80" s="145">
        <f t="shared" si="34"/>
        <v>499.26</v>
      </c>
      <c r="W80" s="146">
        <f t="shared" si="27"/>
        <v>5165.46</v>
      </c>
      <c r="X80" s="147">
        <f t="shared" si="28"/>
        <v>0.11</v>
      </c>
      <c r="Y80" s="147">
        <f t="shared" si="35"/>
        <v>0.17</v>
      </c>
      <c r="Z80" s="206"/>
      <c r="AA80" s="148">
        <f t="shared" si="36"/>
        <v>-2165.46</v>
      </c>
      <c r="AB80" s="147">
        <f t="shared" si="37"/>
        <v>1.72</v>
      </c>
      <c r="AC80" s="149">
        <f t="shared" si="38"/>
        <v>0</v>
      </c>
      <c r="AD80" s="149">
        <f t="shared" si="29"/>
        <v>0</v>
      </c>
      <c r="AE80" s="150">
        <v>64</v>
      </c>
    </row>
    <row r="81" spans="1:31" ht="15" x14ac:dyDescent="0.25">
      <c r="A81" s="133">
        <v>65</v>
      </c>
      <c r="B81" s="166">
        <f t="shared" si="39"/>
        <v>0</v>
      </c>
      <c r="C81" s="44">
        <f t="shared" si="40"/>
        <v>5</v>
      </c>
      <c r="D81" s="197"/>
      <c r="E81" s="166">
        <f t="shared" ref="E81:E116" si="44">IF(OR($A81&lt;2,AND(G$13&gt;0,$A81&gt;G$13)),0,IF(AND($A81&gt;=G$10,G$10&gt;0),G$11,IF(AND($A81&gt;=G$7,G$7&gt;0),G$8,0)))</f>
        <v>0</v>
      </c>
      <c r="F81" s="44">
        <f t="shared" si="24"/>
        <v>9</v>
      </c>
      <c r="G81" s="44">
        <f t="shared" si="25"/>
        <v>730</v>
      </c>
      <c r="H81" s="197"/>
      <c r="I81" s="167">
        <f t="shared" si="41"/>
        <v>6.8</v>
      </c>
      <c r="J81" s="45">
        <f t="shared" si="42"/>
        <v>6.8000000000000005E-2</v>
      </c>
      <c r="K81" s="45">
        <f t="shared" si="26"/>
        <v>2.3900000000000006</v>
      </c>
      <c r="L81" s="200"/>
      <c r="M81" s="168">
        <f t="shared" ref="M81:M112" si="45">ROUND(C81*N81-K81*$O$6,2)</f>
        <v>119.5</v>
      </c>
      <c r="N81" s="168">
        <f t="shared" ref="N81:N116" si="46">ROUND(ROUND(K81,2)*$O$4,2)</f>
        <v>23.9</v>
      </c>
      <c r="O81" s="169">
        <f t="shared" si="43"/>
        <v>4875</v>
      </c>
      <c r="P81" s="170">
        <f t="shared" ref="P81:P112" si="47">O81/$O$10</f>
        <v>1.625</v>
      </c>
      <c r="Q81" s="171">
        <f t="shared" si="20"/>
        <v>204</v>
      </c>
      <c r="R81" s="172">
        <f t="shared" si="21"/>
        <v>0.28000000000000003</v>
      </c>
      <c r="S81" s="173">
        <f t="shared" si="16"/>
        <v>209</v>
      </c>
      <c r="T81" s="172">
        <f t="shared" si="22"/>
        <v>0.28999999999999998</v>
      </c>
      <c r="U81" s="203"/>
      <c r="V81" s="174">
        <f t="shared" ref="V81:V116" si="48">ROUND(K81*$O$8,2)</f>
        <v>514.33000000000004</v>
      </c>
      <c r="W81" s="175">
        <f t="shared" si="27"/>
        <v>5389.33</v>
      </c>
      <c r="X81" s="176">
        <f t="shared" si="28"/>
        <v>0.11</v>
      </c>
      <c r="Y81" s="176">
        <f t="shared" ref="Y81:Y116" si="49">IF($O$10&gt;0,ROUND(V81/$O$10,2),0)</f>
        <v>0.17</v>
      </c>
      <c r="Z81" s="206"/>
      <c r="AA81" s="177">
        <f t="shared" ref="AA81:AA116" si="50">IF($O$10&gt;0,ROUND($O$10-W81,2),0)</f>
        <v>-2389.33</v>
      </c>
      <c r="AB81" s="176">
        <f t="shared" ref="AB81:AB116" si="51">IF($O$10&gt;0,ROUND(W81/$O$10,2),0)</f>
        <v>1.8</v>
      </c>
      <c r="AC81" s="178">
        <f t="shared" ref="AC81:AC116" si="52">IF(AND(AA81&gt;0,$O$4&gt;0),($O$10-O81-V81*$O$9)/N81,0)</f>
        <v>0</v>
      </c>
      <c r="AD81" s="178">
        <f t="shared" si="29"/>
        <v>0</v>
      </c>
      <c r="AE81" s="150">
        <v>65</v>
      </c>
    </row>
    <row r="82" spans="1:31" ht="15" x14ac:dyDescent="0.25">
      <c r="A82" s="133">
        <v>66</v>
      </c>
      <c r="B82" s="134">
        <f t="shared" ref="B82:B113" si="53">IF(AND($A82&gt;=C$10,C$10&gt;0),0,IF(AND($A82&gt;=C$7,C$7&gt;0),C$8,0))</f>
        <v>0</v>
      </c>
      <c r="C82" s="135">
        <f t="shared" ref="C82:C113" si="54">IF(AND($A82&gt;=C$10,C$10&gt;0),C$11,C81+B82)</f>
        <v>5</v>
      </c>
      <c r="D82" s="197"/>
      <c r="E82" s="134">
        <f t="shared" si="44"/>
        <v>0</v>
      </c>
      <c r="F82" s="11">
        <f t="shared" si="24"/>
        <v>9</v>
      </c>
      <c r="G82" s="136">
        <f t="shared" si="25"/>
        <v>739</v>
      </c>
      <c r="H82" s="197"/>
      <c r="I82" s="137">
        <f t="shared" ref="I82:I116" si="55">IF(($A82&lt;K$5),1,IF(AND($A82&gt;K$13,K$13&gt;0),I81,IF(AND($A82&gt;=K$10,K$10&gt;0),ROUND(I81+K$11,4),IF(AND($A82&gt;=K$7,K$7&gt;0),ROUND(I81+K$8,4),K$4))))</f>
        <v>6.9</v>
      </c>
      <c r="J82" s="12">
        <f t="shared" ref="J82:J113" si="56">IF($A82&lt;K$5, K$3, IF(K$2=0,IF(K$14&gt;0,IF(K$3*K$14&lt;ROUND(J81*I82, 3),K$3*K$14,ROUND(J81*I82, 3)),ROUND(J81*I82, 3)),IF(K$14&gt;0,IF(K$3*K$14&lt;ROUND(K$3*I82, 3),K$3*K$14,ROUND(K$3*I82, 3)),ROUND(K$3*I82, 3))))</f>
        <v>6.9000000000000006E-2</v>
      </c>
      <c r="K82" s="138">
        <f t="shared" si="26"/>
        <v>2.4600000000000004</v>
      </c>
      <c r="L82" s="200"/>
      <c r="M82" s="139">
        <f t="shared" si="45"/>
        <v>123</v>
      </c>
      <c r="N82" s="139">
        <f t="shared" si="46"/>
        <v>24.6</v>
      </c>
      <c r="O82" s="140">
        <f t="shared" ref="O82:O116" si="57">ROUND((ROUND(K81,2)*(G82-G81)*$O$4+O81+J82*$O$6),2)</f>
        <v>5090.1000000000004</v>
      </c>
      <c r="P82" s="141">
        <f t="shared" si="47"/>
        <v>1.6967000000000001</v>
      </c>
      <c r="Q82" s="127">
        <f t="shared" si="20"/>
        <v>207</v>
      </c>
      <c r="R82" s="142">
        <f t="shared" si="21"/>
        <v>0.28000000000000003</v>
      </c>
      <c r="S82" s="143">
        <f t="shared" ref="S82:S116" si="58">Q82+C82</f>
        <v>212</v>
      </c>
      <c r="T82" s="144">
        <f t="shared" si="22"/>
        <v>0.28999999999999998</v>
      </c>
      <c r="U82" s="203"/>
      <c r="V82" s="145">
        <f t="shared" si="48"/>
        <v>529.39</v>
      </c>
      <c r="W82" s="146">
        <f t="shared" si="27"/>
        <v>5619.49</v>
      </c>
      <c r="X82" s="147">
        <f t="shared" si="28"/>
        <v>0.1</v>
      </c>
      <c r="Y82" s="147">
        <f t="shared" si="49"/>
        <v>0.18</v>
      </c>
      <c r="Z82" s="206"/>
      <c r="AA82" s="148">
        <f t="shared" si="50"/>
        <v>-2619.4899999999998</v>
      </c>
      <c r="AB82" s="147">
        <f t="shared" si="51"/>
        <v>1.87</v>
      </c>
      <c r="AC82" s="149">
        <f t="shared" si="52"/>
        <v>0</v>
      </c>
      <c r="AD82" s="149">
        <f t="shared" si="29"/>
        <v>0</v>
      </c>
      <c r="AE82" s="150">
        <v>66</v>
      </c>
    </row>
    <row r="83" spans="1:31" ht="15" x14ac:dyDescent="0.25">
      <c r="A83" s="133">
        <v>67</v>
      </c>
      <c r="B83" s="134">
        <f t="shared" si="53"/>
        <v>0</v>
      </c>
      <c r="C83" s="135">
        <f t="shared" si="54"/>
        <v>5</v>
      </c>
      <c r="D83" s="197"/>
      <c r="E83" s="134">
        <f t="shared" si="44"/>
        <v>0</v>
      </c>
      <c r="F83" s="11">
        <f t="shared" si="24"/>
        <v>9</v>
      </c>
      <c r="G83" s="136">
        <f t="shared" si="25"/>
        <v>748</v>
      </c>
      <c r="H83" s="197"/>
      <c r="I83" s="137">
        <f t="shared" si="55"/>
        <v>7</v>
      </c>
      <c r="J83" s="12">
        <f t="shared" si="56"/>
        <v>7.0000000000000007E-2</v>
      </c>
      <c r="K83" s="138">
        <f t="shared" si="26"/>
        <v>2.5300000000000002</v>
      </c>
      <c r="L83" s="200"/>
      <c r="M83" s="139">
        <f t="shared" si="45"/>
        <v>126.5</v>
      </c>
      <c r="N83" s="139">
        <f t="shared" si="46"/>
        <v>25.3</v>
      </c>
      <c r="O83" s="140">
        <f t="shared" si="57"/>
        <v>5311.5</v>
      </c>
      <c r="P83" s="141">
        <f t="shared" si="47"/>
        <v>1.7705</v>
      </c>
      <c r="Q83" s="127">
        <f t="shared" ref="Q83:Q116" si="59">ROUND(O83/N83,0)</f>
        <v>210</v>
      </c>
      <c r="R83" s="142">
        <f t="shared" ref="R83:R116" si="60">ROUND(Q83/G83,2)</f>
        <v>0.28000000000000003</v>
      </c>
      <c r="S83" s="143">
        <f t="shared" si="58"/>
        <v>215</v>
      </c>
      <c r="T83" s="144">
        <f t="shared" ref="T83:T116" si="61">ROUND(S83/G83,2)</f>
        <v>0.28999999999999998</v>
      </c>
      <c r="U83" s="203"/>
      <c r="V83" s="145">
        <f t="shared" si="48"/>
        <v>544.46</v>
      </c>
      <c r="W83" s="146">
        <f t="shared" si="27"/>
        <v>5855.96</v>
      </c>
      <c r="X83" s="147">
        <f t="shared" si="28"/>
        <v>0.1</v>
      </c>
      <c r="Y83" s="147">
        <f t="shared" si="49"/>
        <v>0.18</v>
      </c>
      <c r="Z83" s="206"/>
      <c r="AA83" s="148">
        <f t="shared" si="50"/>
        <v>-2855.96</v>
      </c>
      <c r="AB83" s="147">
        <f t="shared" si="51"/>
        <v>1.95</v>
      </c>
      <c r="AC83" s="149">
        <f t="shared" si="52"/>
        <v>0</v>
      </c>
      <c r="AD83" s="149">
        <f t="shared" si="29"/>
        <v>0</v>
      </c>
      <c r="AE83" s="150">
        <v>67</v>
      </c>
    </row>
    <row r="84" spans="1:31" ht="15" x14ac:dyDescent="0.25">
      <c r="A84" s="133">
        <v>68</v>
      </c>
      <c r="B84" s="134">
        <f t="shared" si="53"/>
        <v>0</v>
      </c>
      <c r="C84" s="135">
        <f t="shared" si="54"/>
        <v>5</v>
      </c>
      <c r="D84" s="197"/>
      <c r="E84" s="134">
        <f t="shared" si="44"/>
        <v>0</v>
      </c>
      <c r="F84" s="11">
        <f t="shared" si="24"/>
        <v>9</v>
      </c>
      <c r="G84" s="136">
        <f t="shared" si="25"/>
        <v>757</v>
      </c>
      <c r="H84" s="197"/>
      <c r="I84" s="137">
        <f t="shared" si="55"/>
        <v>7.1</v>
      </c>
      <c r="J84" s="12">
        <f t="shared" si="56"/>
        <v>7.0999999999999994E-2</v>
      </c>
      <c r="K84" s="138">
        <f t="shared" si="26"/>
        <v>2.6</v>
      </c>
      <c r="L84" s="200"/>
      <c r="M84" s="139">
        <f t="shared" si="45"/>
        <v>130</v>
      </c>
      <c r="N84" s="139">
        <f t="shared" si="46"/>
        <v>26</v>
      </c>
      <c r="O84" s="140">
        <f t="shared" si="57"/>
        <v>5539.2</v>
      </c>
      <c r="P84" s="141">
        <f t="shared" si="47"/>
        <v>1.8464</v>
      </c>
      <c r="Q84" s="127">
        <f t="shared" si="59"/>
        <v>213</v>
      </c>
      <c r="R84" s="142">
        <f t="shared" si="60"/>
        <v>0.28000000000000003</v>
      </c>
      <c r="S84" s="143">
        <f t="shared" si="58"/>
        <v>218</v>
      </c>
      <c r="T84" s="144">
        <f t="shared" si="61"/>
        <v>0.28999999999999998</v>
      </c>
      <c r="U84" s="203"/>
      <c r="V84" s="145">
        <f t="shared" si="48"/>
        <v>559.52</v>
      </c>
      <c r="W84" s="146">
        <f t="shared" si="27"/>
        <v>6098.72</v>
      </c>
      <c r="X84" s="147">
        <f t="shared" si="28"/>
        <v>0.1</v>
      </c>
      <c r="Y84" s="147">
        <f t="shared" si="49"/>
        <v>0.19</v>
      </c>
      <c r="Z84" s="206"/>
      <c r="AA84" s="148">
        <f t="shared" si="50"/>
        <v>-3098.72</v>
      </c>
      <c r="AB84" s="147">
        <f t="shared" si="51"/>
        <v>2.0299999999999998</v>
      </c>
      <c r="AC84" s="149">
        <f t="shared" si="52"/>
        <v>0</v>
      </c>
      <c r="AD84" s="149">
        <f t="shared" si="29"/>
        <v>0</v>
      </c>
      <c r="AE84" s="150">
        <v>68</v>
      </c>
    </row>
    <row r="85" spans="1:31" ht="15" x14ac:dyDescent="0.25">
      <c r="A85" s="133">
        <v>69</v>
      </c>
      <c r="B85" s="134">
        <f t="shared" si="53"/>
        <v>0</v>
      </c>
      <c r="C85" s="135">
        <f t="shared" si="54"/>
        <v>5</v>
      </c>
      <c r="D85" s="197"/>
      <c r="E85" s="134">
        <f t="shared" si="44"/>
        <v>0</v>
      </c>
      <c r="F85" s="11">
        <f t="shared" si="24"/>
        <v>9</v>
      </c>
      <c r="G85" s="136">
        <f t="shared" si="25"/>
        <v>766</v>
      </c>
      <c r="H85" s="197"/>
      <c r="I85" s="137">
        <f t="shared" si="55"/>
        <v>7.2</v>
      </c>
      <c r="J85" s="12">
        <f t="shared" si="56"/>
        <v>7.1999999999999995E-2</v>
      </c>
      <c r="K85" s="138">
        <f t="shared" si="26"/>
        <v>2.67</v>
      </c>
      <c r="L85" s="200"/>
      <c r="M85" s="139">
        <f t="shared" si="45"/>
        <v>133.5</v>
      </c>
      <c r="N85" s="139">
        <f t="shared" si="46"/>
        <v>26.7</v>
      </c>
      <c r="O85" s="140">
        <f t="shared" si="57"/>
        <v>5773.2</v>
      </c>
      <c r="P85" s="141">
        <f t="shared" si="47"/>
        <v>1.9243999999999999</v>
      </c>
      <c r="Q85" s="127">
        <f t="shared" si="59"/>
        <v>216</v>
      </c>
      <c r="R85" s="142">
        <f t="shared" si="60"/>
        <v>0.28000000000000003</v>
      </c>
      <c r="S85" s="143">
        <f t="shared" si="58"/>
        <v>221</v>
      </c>
      <c r="T85" s="144">
        <f t="shared" si="61"/>
        <v>0.28999999999999998</v>
      </c>
      <c r="U85" s="203"/>
      <c r="V85" s="145">
        <f t="shared" si="48"/>
        <v>574.58000000000004</v>
      </c>
      <c r="W85" s="146">
        <f t="shared" si="27"/>
        <v>6347.78</v>
      </c>
      <c r="X85" s="147">
        <f t="shared" si="28"/>
        <v>0.1</v>
      </c>
      <c r="Y85" s="147">
        <f t="shared" si="49"/>
        <v>0.19</v>
      </c>
      <c r="Z85" s="206"/>
      <c r="AA85" s="148">
        <f t="shared" si="50"/>
        <v>-3347.78</v>
      </c>
      <c r="AB85" s="147">
        <f t="shared" si="51"/>
        <v>2.12</v>
      </c>
      <c r="AC85" s="149">
        <f t="shared" si="52"/>
        <v>0</v>
      </c>
      <c r="AD85" s="149">
        <f t="shared" si="29"/>
        <v>0</v>
      </c>
      <c r="AE85" s="150">
        <v>69</v>
      </c>
    </row>
    <row r="86" spans="1:31" ht="15" x14ac:dyDescent="0.25">
      <c r="A86" s="133">
        <v>70</v>
      </c>
      <c r="B86" s="166">
        <f t="shared" si="53"/>
        <v>0</v>
      </c>
      <c r="C86" s="44">
        <f t="shared" si="54"/>
        <v>5</v>
      </c>
      <c r="D86" s="197"/>
      <c r="E86" s="166">
        <f t="shared" si="44"/>
        <v>0</v>
      </c>
      <c r="F86" s="44">
        <f t="shared" si="24"/>
        <v>9</v>
      </c>
      <c r="G86" s="44">
        <f t="shared" si="25"/>
        <v>775</v>
      </c>
      <c r="H86" s="197"/>
      <c r="I86" s="167">
        <f t="shared" si="55"/>
        <v>7.3</v>
      </c>
      <c r="J86" s="45">
        <f t="shared" si="56"/>
        <v>7.2999999999999995E-2</v>
      </c>
      <c r="K86" s="45">
        <f t="shared" si="26"/>
        <v>2.7399999999999998</v>
      </c>
      <c r="L86" s="200"/>
      <c r="M86" s="168">
        <f t="shared" si="45"/>
        <v>137</v>
      </c>
      <c r="N86" s="168">
        <f t="shared" si="46"/>
        <v>27.4</v>
      </c>
      <c r="O86" s="169">
        <f t="shared" si="57"/>
        <v>6013.5</v>
      </c>
      <c r="P86" s="170">
        <f t="shared" si="47"/>
        <v>2.0045000000000002</v>
      </c>
      <c r="Q86" s="171">
        <f t="shared" si="59"/>
        <v>219</v>
      </c>
      <c r="R86" s="172">
        <f t="shared" si="60"/>
        <v>0.28000000000000003</v>
      </c>
      <c r="S86" s="173">
        <f t="shared" si="58"/>
        <v>224</v>
      </c>
      <c r="T86" s="172">
        <f t="shared" si="61"/>
        <v>0.28999999999999998</v>
      </c>
      <c r="U86" s="203"/>
      <c r="V86" s="174">
        <f t="shared" si="48"/>
        <v>589.65</v>
      </c>
      <c r="W86" s="175">
        <f t="shared" si="27"/>
        <v>6603.15</v>
      </c>
      <c r="X86" s="176">
        <f t="shared" si="28"/>
        <v>0.1</v>
      </c>
      <c r="Y86" s="176">
        <f t="shared" si="49"/>
        <v>0.2</v>
      </c>
      <c r="Z86" s="206"/>
      <c r="AA86" s="177">
        <f t="shared" si="50"/>
        <v>-3603.15</v>
      </c>
      <c r="AB86" s="176">
        <f t="shared" si="51"/>
        <v>2.2000000000000002</v>
      </c>
      <c r="AC86" s="178">
        <f t="shared" si="52"/>
        <v>0</v>
      </c>
      <c r="AD86" s="178">
        <f t="shared" si="29"/>
        <v>0</v>
      </c>
      <c r="AE86" s="150">
        <v>70</v>
      </c>
    </row>
    <row r="87" spans="1:31" ht="15" x14ac:dyDescent="0.25">
      <c r="A87" s="133">
        <v>71</v>
      </c>
      <c r="B87" s="134">
        <f t="shared" si="53"/>
        <v>0</v>
      </c>
      <c r="C87" s="135">
        <f t="shared" si="54"/>
        <v>5</v>
      </c>
      <c r="D87" s="197"/>
      <c r="E87" s="134">
        <f t="shared" si="44"/>
        <v>0</v>
      </c>
      <c r="F87" s="11">
        <f t="shared" si="24"/>
        <v>9</v>
      </c>
      <c r="G87" s="136">
        <f t="shared" si="25"/>
        <v>784</v>
      </c>
      <c r="H87" s="197"/>
      <c r="I87" s="137">
        <f t="shared" si="55"/>
        <v>7.4</v>
      </c>
      <c r="J87" s="12">
        <f t="shared" si="56"/>
        <v>7.3999999999999996E-2</v>
      </c>
      <c r="K87" s="138">
        <f t="shared" si="26"/>
        <v>2.8099999999999996</v>
      </c>
      <c r="L87" s="200"/>
      <c r="M87" s="139">
        <f t="shared" si="45"/>
        <v>140.5</v>
      </c>
      <c r="N87" s="139">
        <f t="shared" si="46"/>
        <v>28.1</v>
      </c>
      <c r="O87" s="140">
        <f t="shared" si="57"/>
        <v>6260.1</v>
      </c>
      <c r="P87" s="141">
        <f t="shared" si="47"/>
        <v>2.0867</v>
      </c>
      <c r="Q87" s="127">
        <f t="shared" si="59"/>
        <v>223</v>
      </c>
      <c r="R87" s="142">
        <f t="shared" si="60"/>
        <v>0.28000000000000003</v>
      </c>
      <c r="S87" s="143">
        <f t="shared" si="58"/>
        <v>228</v>
      </c>
      <c r="T87" s="144">
        <f t="shared" si="61"/>
        <v>0.28999999999999998</v>
      </c>
      <c r="U87" s="203"/>
      <c r="V87" s="145">
        <f t="shared" si="48"/>
        <v>604.71</v>
      </c>
      <c r="W87" s="146">
        <f t="shared" si="27"/>
        <v>6864.81</v>
      </c>
      <c r="X87" s="147">
        <f t="shared" si="28"/>
        <v>0.1</v>
      </c>
      <c r="Y87" s="147">
        <f t="shared" si="49"/>
        <v>0.2</v>
      </c>
      <c r="Z87" s="206"/>
      <c r="AA87" s="148">
        <f t="shared" si="50"/>
        <v>-3864.81</v>
      </c>
      <c r="AB87" s="147">
        <f t="shared" si="51"/>
        <v>2.29</v>
      </c>
      <c r="AC87" s="149">
        <f t="shared" si="52"/>
        <v>0</v>
      </c>
      <c r="AD87" s="149">
        <f t="shared" si="29"/>
        <v>0</v>
      </c>
      <c r="AE87" s="150">
        <v>71</v>
      </c>
    </row>
    <row r="88" spans="1:31" ht="15" x14ac:dyDescent="0.25">
      <c r="A88" s="133">
        <v>72</v>
      </c>
      <c r="B88" s="134">
        <f t="shared" si="53"/>
        <v>0</v>
      </c>
      <c r="C88" s="135">
        <f t="shared" si="54"/>
        <v>5</v>
      </c>
      <c r="D88" s="197"/>
      <c r="E88" s="134">
        <f t="shared" si="44"/>
        <v>0</v>
      </c>
      <c r="F88" s="11">
        <f t="shared" si="24"/>
        <v>9</v>
      </c>
      <c r="G88" s="136">
        <f t="shared" si="25"/>
        <v>793</v>
      </c>
      <c r="H88" s="197"/>
      <c r="I88" s="137">
        <f t="shared" si="55"/>
        <v>7.5</v>
      </c>
      <c r="J88" s="12">
        <f t="shared" si="56"/>
        <v>7.4999999999999997E-2</v>
      </c>
      <c r="K88" s="138">
        <f t="shared" si="26"/>
        <v>2.8899999999999997</v>
      </c>
      <c r="L88" s="200"/>
      <c r="M88" s="139">
        <f t="shared" si="45"/>
        <v>144.5</v>
      </c>
      <c r="N88" s="139">
        <f t="shared" si="46"/>
        <v>28.9</v>
      </c>
      <c r="O88" s="140">
        <f t="shared" si="57"/>
        <v>6513</v>
      </c>
      <c r="P88" s="141">
        <f t="shared" si="47"/>
        <v>2.1709999999999998</v>
      </c>
      <c r="Q88" s="127">
        <f t="shared" si="59"/>
        <v>225</v>
      </c>
      <c r="R88" s="142">
        <f t="shared" si="60"/>
        <v>0.28000000000000003</v>
      </c>
      <c r="S88" s="143">
        <f t="shared" si="58"/>
        <v>230</v>
      </c>
      <c r="T88" s="144">
        <f t="shared" si="61"/>
        <v>0.28999999999999998</v>
      </c>
      <c r="U88" s="203"/>
      <c r="V88" s="145">
        <f t="shared" si="48"/>
        <v>621.92999999999995</v>
      </c>
      <c r="W88" s="146">
        <f t="shared" si="27"/>
        <v>7134.93</v>
      </c>
      <c r="X88" s="147">
        <f t="shared" si="28"/>
        <v>0.1</v>
      </c>
      <c r="Y88" s="147">
        <f t="shared" si="49"/>
        <v>0.21</v>
      </c>
      <c r="Z88" s="206"/>
      <c r="AA88" s="148">
        <f t="shared" si="50"/>
        <v>-4134.93</v>
      </c>
      <c r="AB88" s="147">
        <f t="shared" si="51"/>
        <v>2.38</v>
      </c>
      <c r="AC88" s="149">
        <f t="shared" si="52"/>
        <v>0</v>
      </c>
      <c r="AD88" s="149">
        <f t="shared" si="29"/>
        <v>0</v>
      </c>
      <c r="AE88" s="150">
        <v>72</v>
      </c>
    </row>
    <row r="89" spans="1:31" ht="15" x14ac:dyDescent="0.25">
      <c r="A89" s="133">
        <v>73</v>
      </c>
      <c r="B89" s="134">
        <f t="shared" si="53"/>
        <v>0</v>
      </c>
      <c r="C89" s="135">
        <f t="shared" si="54"/>
        <v>5</v>
      </c>
      <c r="D89" s="197"/>
      <c r="E89" s="134">
        <f t="shared" si="44"/>
        <v>0</v>
      </c>
      <c r="F89" s="11">
        <f t="shared" si="24"/>
        <v>9</v>
      </c>
      <c r="G89" s="136">
        <f t="shared" si="25"/>
        <v>802</v>
      </c>
      <c r="H89" s="197"/>
      <c r="I89" s="137">
        <f t="shared" si="55"/>
        <v>7.6</v>
      </c>
      <c r="J89" s="12">
        <f t="shared" si="56"/>
        <v>7.5999999999999998E-2</v>
      </c>
      <c r="K89" s="138">
        <f t="shared" si="26"/>
        <v>2.9699999999999998</v>
      </c>
      <c r="L89" s="200"/>
      <c r="M89" s="139">
        <f t="shared" si="45"/>
        <v>148.5</v>
      </c>
      <c r="N89" s="139">
        <f t="shared" si="46"/>
        <v>29.7</v>
      </c>
      <c r="O89" s="140">
        <f t="shared" si="57"/>
        <v>6773.1</v>
      </c>
      <c r="P89" s="141">
        <f t="shared" si="47"/>
        <v>2.2577000000000003</v>
      </c>
      <c r="Q89" s="127">
        <f t="shared" si="59"/>
        <v>228</v>
      </c>
      <c r="R89" s="142">
        <f t="shared" si="60"/>
        <v>0.28000000000000003</v>
      </c>
      <c r="S89" s="143">
        <f t="shared" si="58"/>
        <v>233</v>
      </c>
      <c r="T89" s="144">
        <f t="shared" si="61"/>
        <v>0.28999999999999998</v>
      </c>
      <c r="U89" s="203"/>
      <c r="V89" s="145">
        <f t="shared" si="48"/>
        <v>639.14</v>
      </c>
      <c r="W89" s="146">
        <f t="shared" si="27"/>
        <v>7412.24</v>
      </c>
      <c r="X89" s="147">
        <f t="shared" si="28"/>
        <v>0.09</v>
      </c>
      <c r="Y89" s="147">
        <f t="shared" si="49"/>
        <v>0.21</v>
      </c>
      <c r="Z89" s="206"/>
      <c r="AA89" s="148">
        <f t="shared" si="50"/>
        <v>-4412.24</v>
      </c>
      <c r="AB89" s="147">
        <f t="shared" si="51"/>
        <v>2.4700000000000002</v>
      </c>
      <c r="AC89" s="149">
        <f t="shared" si="52"/>
        <v>0</v>
      </c>
      <c r="AD89" s="149">
        <f t="shared" si="29"/>
        <v>0</v>
      </c>
      <c r="AE89" s="150">
        <v>73</v>
      </c>
    </row>
    <row r="90" spans="1:31" ht="15" x14ac:dyDescent="0.25">
      <c r="A90" s="133">
        <v>74</v>
      </c>
      <c r="B90" s="134">
        <f t="shared" si="53"/>
        <v>0</v>
      </c>
      <c r="C90" s="135">
        <f t="shared" si="54"/>
        <v>5</v>
      </c>
      <c r="D90" s="197"/>
      <c r="E90" s="134">
        <f t="shared" si="44"/>
        <v>0</v>
      </c>
      <c r="F90" s="11">
        <f t="shared" si="24"/>
        <v>9</v>
      </c>
      <c r="G90" s="136">
        <f t="shared" si="25"/>
        <v>811</v>
      </c>
      <c r="H90" s="197"/>
      <c r="I90" s="137">
        <f t="shared" si="55"/>
        <v>7.7</v>
      </c>
      <c r="J90" s="12">
        <f t="shared" si="56"/>
        <v>7.6999999999999999E-2</v>
      </c>
      <c r="K90" s="138">
        <f t="shared" si="26"/>
        <v>3.05</v>
      </c>
      <c r="L90" s="200"/>
      <c r="M90" s="139">
        <f t="shared" si="45"/>
        <v>152.5</v>
      </c>
      <c r="N90" s="139">
        <f t="shared" si="46"/>
        <v>30.5</v>
      </c>
      <c r="O90" s="140">
        <f t="shared" si="57"/>
        <v>7040.4</v>
      </c>
      <c r="P90" s="141">
        <f t="shared" si="47"/>
        <v>2.3468</v>
      </c>
      <c r="Q90" s="127">
        <f t="shared" si="59"/>
        <v>231</v>
      </c>
      <c r="R90" s="142">
        <f t="shared" si="60"/>
        <v>0.28000000000000003</v>
      </c>
      <c r="S90" s="143">
        <f t="shared" si="58"/>
        <v>236</v>
      </c>
      <c r="T90" s="144">
        <f t="shared" si="61"/>
        <v>0.28999999999999998</v>
      </c>
      <c r="U90" s="203"/>
      <c r="V90" s="145">
        <f t="shared" si="48"/>
        <v>656.36</v>
      </c>
      <c r="W90" s="146">
        <f t="shared" si="27"/>
        <v>7696.76</v>
      </c>
      <c r="X90" s="147">
        <f t="shared" si="28"/>
        <v>0.09</v>
      </c>
      <c r="Y90" s="147">
        <f t="shared" si="49"/>
        <v>0.22</v>
      </c>
      <c r="Z90" s="206"/>
      <c r="AA90" s="148">
        <f t="shared" si="50"/>
        <v>-4696.76</v>
      </c>
      <c r="AB90" s="147">
        <f t="shared" si="51"/>
        <v>2.57</v>
      </c>
      <c r="AC90" s="149">
        <f t="shared" si="52"/>
        <v>0</v>
      </c>
      <c r="AD90" s="149">
        <f t="shared" si="29"/>
        <v>0</v>
      </c>
      <c r="AE90" s="150">
        <v>74</v>
      </c>
    </row>
    <row r="91" spans="1:31" ht="15" x14ac:dyDescent="0.25">
      <c r="A91" s="133">
        <v>75</v>
      </c>
      <c r="B91" s="166">
        <f t="shared" si="53"/>
        <v>0</v>
      </c>
      <c r="C91" s="44">
        <f t="shared" si="54"/>
        <v>5</v>
      </c>
      <c r="D91" s="197"/>
      <c r="E91" s="166">
        <f t="shared" si="44"/>
        <v>0</v>
      </c>
      <c r="F91" s="44">
        <f t="shared" si="24"/>
        <v>9</v>
      </c>
      <c r="G91" s="44">
        <f t="shared" si="25"/>
        <v>820</v>
      </c>
      <c r="H91" s="197"/>
      <c r="I91" s="167">
        <f t="shared" si="55"/>
        <v>7.8</v>
      </c>
      <c r="J91" s="45">
        <f t="shared" si="56"/>
        <v>7.8E-2</v>
      </c>
      <c r="K91" s="45">
        <f t="shared" si="26"/>
        <v>3.13</v>
      </c>
      <c r="L91" s="200"/>
      <c r="M91" s="168">
        <f t="shared" si="45"/>
        <v>156.5</v>
      </c>
      <c r="N91" s="168">
        <f t="shared" si="46"/>
        <v>31.3</v>
      </c>
      <c r="O91" s="169">
        <f t="shared" si="57"/>
        <v>7314.9</v>
      </c>
      <c r="P91" s="170">
        <f t="shared" si="47"/>
        <v>2.4382999999999999</v>
      </c>
      <c r="Q91" s="171">
        <f t="shared" si="59"/>
        <v>234</v>
      </c>
      <c r="R91" s="172">
        <f t="shared" si="60"/>
        <v>0.28999999999999998</v>
      </c>
      <c r="S91" s="173">
        <f t="shared" si="58"/>
        <v>239</v>
      </c>
      <c r="T91" s="172">
        <f t="shared" si="61"/>
        <v>0.28999999999999998</v>
      </c>
      <c r="U91" s="203"/>
      <c r="V91" s="174">
        <f t="shared" si="48"/>
        <v>673.58</v>
      </c>
      <c r="W91" s="175">
        <f t="shared" si="27"/>
        <v>7988.48</v>
      </c>
      <c r="X91" s="176">
        <f t="shared" si="28"/>
        <v>0.09</v>
      </c>
      <c r="Y91" s="176">
        <f t="shared" si="49"/>
        <v>0.22</v>
      </c>
      <c r="Z91" s="206"/>
      <c r="AA91" s="177">
        <f t="shared" si="50"/>
        <v>-4988.4799999999996</v>
      </c>
      <c r="AB91" s="176">
        <f t="shared" si="51"/>
        <v>2.66</v>
      </c>
      <c r="AC91" s="178">
        <f t="shared" si="52"/>
        <v>0</v>
      </c>
      <c r="AD91" s="178">
        <f t="shared" si="29"/>
        <v>0</v>
      </c>
      <c r="AE91" s="150">
        <v>75</v>
      </c>
    </row>
    <row r="92" spans="1:31" ht="15" x14ac:dyDescent="0.25">
      <c r="A92" s="133">
        <v>76</v>
      </c>
      <c r="B92" s="134">
        <f t="shared" si="53"/>
        <v>0</v>
      </c>
      <c r="C92" s="135">
        <f t="shared" si="54"/>
        <v>5</v>
      </c>
      <c r="D92" s="197"/>
      <c r="E92" s="134">
        <f t="shared" si="44"/>
        <v>0</v>
      </c>
      <c r="F92" s="11">
        <f t="shared" si="24"/>
        <v>9</v>
      </c>
      <c r="G92" s="136">
        <f t="shared" si="25"/>
        <v>829</v>
      </c>
      <c r="H92" s="197"/>
      <c r="I92" s="137">
        <f t="shared" si="55"/>
        <v>7.9</v>
      </c>
      <c r="J92" s="12">
        <f t="shared" si="56"/>
        <v>7.9000000000000001E-2</v>
      </c>
      <c r="K92" s="138">
        <f t="shared" si="26"/>
        <v>3.21</v>
      </c>
      <c r="L92" s="200"/>
      <c r="M92" s="139">
        <f t="shared" si="45"/>
        <v>160.5</v>
      </c>
      <c r="N92" s="139">
        <f t="shared" si="46"/>
        <v>32.1</v>
      </c>
      <c r="O92" s="140">
        <f t="shared" si="57"/>
        <v>7596.6</v>
      </c>
      <c r="P92" s="141">
        <f t="shared" si="47"/>
        <v>2.5322</v>
      </c>
      <c r="Q92" s="127">
        <f t="shared" si="59"/>
        <v>237</v>
      </c>
      <c r="R92" s="142">
        <f t="shared" si="60"/>
        <v>0.28999999999999998</v>
      </c>
      <c r="S92" s="143">
        <f t="shared" si="58"/>
        <v>242</v>
      </c>
      <c r="T92" s="144">
        <f t="shared" si="61"/>
        <v>0.28999999999999998</v>
      </c>
      <c r="U92" s="203"/>
      <c r="V92" s="145">
        <f t="shared" si="48"/>
        <v>690.79</v>
      </c>
      <c r="W92" s="146">
        <f t="shared" si="27"/>
        <v>8287.39</v>
      </c>
      <c r="X92" s="147">
        <f t="shared" si="28"/>
        <v>0.09</v>
      </c>
      <c r="Y92" s="147">
        <f t="shared" si="49"/>
        <v>0.23</v>
      </c>
      <c r="Z92" s="206"/>
      <c r="AA92" s="148">
        <f t="shared" si="50"/>
        <v>-5287.39</v>
      </c>
      <c r="AB92" s="147">
        <f t="shared" si="51"/>
        <v>2.76</v>
      </c>
      <c r="AC92" s="149">
        <f t="shared" si="52"/>
        <v>0</v>
      </c>
      <c r="AD92" s="149">
        <f t="shared" si="29"/>
        <v>0</v>
      </c>
      <c r="AE92" s="150">
        <v>76</v>
      </c>
    </row>
    <row r="93" spans="1:31" ht="15" x14ac:dyDescent="0.25">
      <c r="A93" s="133">
        <v>77</v>
      </c>
      <c r="B93" s="134">
        <f t="shared" si="53"/>
        <v>0</v>
      </c>
      <c r="C93" s="135">
        <f t="shared" si="54"/>
        <v>5</v>
      </c>
      <c r="D93" s="197"/>
      <c r="E93" s="134">
        <f t="shared" si="44"/>
        <v>0</v>
      </c>
      <c r="F93" s="11">
        <f t="shared" si="24"/>
        <v>9</v>
      </c>
      <c r="G93" s="136">
        <f t="shared" si="25"/>
        <v>838</v>
      </c>
      <c r="H93" s="197"/>
      <c r="I93" s="137">
        <f t="shared" si="55"/>
        <v>8</v>
      </c>
      <c r="J93" s="12">
        <f t="shared" si="56"/>
        <v>0.08</v>
      </c>
      <c r="K93" s="138">
        <f t="shared" si="26"/>
        <v>3.29</v>
      </c>
      <c r="L93" s="200"/>
      <c r="M93" s="139">
        <f t="shared" si="45"/>
        <v>164.5</v>
      </c>
      <c r="N93" s="139">
        <f t="shared" si="46"/>
        <v>32.9</v>
      </c>
      <c r="O93" s="140">
        <f t="shared" si="57"/>
        <v>7885.5</v>
      </c>
      <c r="P93" s="141">
        <f t="shared" si="47"/>
        <v>2.6284999999999998</v>
      </c>
      <c r="Q93" s="127">
        <f t="shared" si="59"/>
        <v>240</v>
      </c>
      <c r="R93" s="142">
        <f t="shared" si="60"/>
        <v>0.28999999999999998</v>
      </c>
      <c r="S93" s="143">
        <f t="shared" si="58"/>
        <v>245</v>
      </c>
      <c r="T93" s="144">
        <f t="shared" si="61"/>
        <v>0.28999999999999998</v>
      </c>
      <c r="U93" s="203"/>
      <c r="V93" s="145">
        <f t="shared" si="48"/>
        <v>708.01</v>
      </c>
      <c r="W93" s="146">
        <f t="shared" si="27"/>
        <v>8593.51</v>
      </c>
      <c r="X93" s="147">
        <f t="shared" si="28"/>
        <v>0.09</v>
      </c>
      <c r="Y93" s="147">
        <f t="shared" si="49"/>
        <v>0.24</v>
      </c>
      <c r="Z93" s="206"/>
      <c r="AA93" s="148">
        <f t="shared" si="50"/>
        <v>-5593.51</v>
      </c>
      <c r="AB93" s="147">
        <f t="shared" si="51"/>
        <v>2.86</v>
      </c>
      <c r="AC93" s="149">
        <f t="shared" si="52"/>
        <v>0</v>
      </c>
      <c r="AD93" s="149">
        <f t="shared" si="29"/>
        <v>0</v>
      </c>
      <c r="AE93" s="150">
        <v>77</v>
      </c>
    </row>
    <row r="94" spans="1:31" ht="15" x14ac:dyDescent="0.25">
      <c r="A94" s="133">
        <v>78</v>
      </c>
      <c r="B94" s="134">
        <f t="shared" si="53"/>
        <v>0</v>
      </c>
      <c r="C94" s="135">
        <f t="shared" si="54"/>
        <v>5</v>
      </c>
      <c r="D94" s="197"/>
      <c r="E94" s="134">
        <f t="shared" si="44"/>
        <v>0</v>
      </c>
      <c r="F94" s="11">
        <f t="shared" si="24"/>
        <v>9</v>
      </c>
      <c r="G94" s="136">
        <f t="shared" si="25"/>
        <v>847</v>
      </c>
      <c r="H94" s="197"/>
      <c r="I94" s="137">
        <f t="shared" si="55"/>
        <v>8.1</v>
      </c>
      <c r="J94" s="12">
        <f t="shared" si="56"/>
        <v>8.1000000000000003E-2</v>
      </c>
      <c r="K94" s="138">
        <f t="shared" si="26"/>
        <v>3.37</v>
      </c>
      <c r="L94" s="200"/>
      <c r="M94" s="139">
        <f t="shared" si="45"/>
        <v>168.5</v>
      </c>
      <c r="N94" s="139">
        <f t="shared" si="46"/>
        <v>33.700000000000003</v>
      </c>
      <c r="O94" s="140">
        <f t="shared" si="57"/>
        <v>8181.6</v>
      </c>
      <c r="P94" s="141">
        <f t="shared" si="47"/>
        <v>2.7272000000000003</v>
      </c>
      <c r="Q94" s="127">
        <f t="shared" si="59"/>
        <v>243</v>
      </c>
      <c r="R94" s="142">
        <f t="shared" si="60"/>
        <v>0.28999999999999998</v>
      </c>
      <c r="S94" s="143">
        <f t="shared" si="58"/>
        <v>248</v>
      </c>
      <c r="T94" s="144">
        <f t="shared" si="61"/>
        <v>0.28999999999999998</v>
      </c>
      <c r="U94" s="203"/>
      <c r="V94" s="145">
        <f t="shared" si="48"/>
        <v>725.22</v>
      </c>
      <c r="W94" s="146">
        <f t="shared" si="27"/>
        <v>8906.82</v>
      </c>
      <c r="X94" s="147">
        <f t="shared" si="28"/>
        <v>0.09</v>
      </c>
      <c r="Y94" s="147">
        <f t="shared" si="49"/>
        <v>0.24</v>
      </c>
      <c r="Z94" s="206"/>
      <c r="AA94" s="148">
        <f t="shared" si="50"/>
        <v>-5906.82</v>
      </c>
      <c r="AB94" s="147">
        <f t="shared" si="51"/>
        <v>2.97</v>
      </c>
      <c r="AC94" s="149">
        <f t="shared" si="52"/>
        <v>0</v>
      </c>
      <c r="AD94" s="149">
        <f t="shared" si="29"/>
        <v>0</v>
      </c>
      <c r="AE94" s="150">
        <v>78</v>
      </c>
    </row>
    <row r="95" spans="1:31" ht="15" x14ac:dyDescent="0.25">
      <c r="A95" s="133">
        <v>79</v>
      </c>
      <c r="B95" s="134">
        <f t="shared" si="53"/>
        <v>0</v>
      </c>
      <c r="C95" s="135">
        <f t="shared" si="54"/>
        <v>5</v>
      </c>
      <c r="D95" s="197"/>
      <c r="E95" s="134">
        <f t="shared" si="44"/>
        <v>0</v>
      </c>
      <c r="F95" s="11">
        <f t="shared" si="24"/>
        <v>9</v>
      </c>
      <c r="G95" s="136">
        <f t="shared" si="25"/>
        <v>856</v>
      </c>
      <c r="H95" s="197"/>
      <c r="I95" s="137">
        <f t="shared" si="55"/>
        <v>8.1999999999999993</v>
      </c>
      <c r="J95" s="12">
        <f t="shared" si="56"/>
        <v>8.2000000000000003E-2</v>
      </c>
      <c r="K95" s="138">
        <f t="shared" si="26"/>
        <v>3.45</v>
      </c>
      <c r="L95" s="200"/>
      <c r="M95" s="139">
        <f t="shared" si="45"/>
        <v>172.5</v>
      </c>
      <c r="N95" s="139">
        <f t="shared" si="46"/>
        <v>34.5</v>
      </c>
      <c r="O95" s="140">
        <f t="shared" si="57"/>
        <v>8484.9</v>
      </c>
      <c r="P95" s="141">
        <f t="shared" si="47"/>
        <v>2.8283</v>
      </c>
      <c r="Q95" s="127">
        <f t="shared" si="59"/>
        <v>246</v>
      </c>
      <c r="R95" s="142">
        <f t="shared" si="60"/>
        <v>0.28999999999999998</v>
      </c>
      <c r="S95" s="143">
        <f t="shared" si="58"/>
        <v>251</v>
      </c>
      <c r="T95" s="144">
        <f t="shared" si="61"/>
        <v>0.28999999999999998</v>
      </c>
      <c r="U95" s="203"/>
      <c r="V95" s="145">
        <f t="shared" si="48"/>
        <v>742.44</v>
      </c>
      <c r="W95" s="146">
        <f t="shared" si="27"/>
        <v>9227.34</v>
      </c>
      <c r="X95" s="147">
        <f t="shared" si="28"/>
        <v>0.09</v>
      </c>
      <c r="Y95" s="147">
        <f t="shared" si="49"/>
        <v>0.25</v>
      </c>
      <c r="Z95" s="206"/>
      <c r="AA95" s="148">
        <f t="shared" si="50"/>
        <v>-6227.34</v>
      </c>
      <c r="AB95" s="147">
        <f t="shared" si="51"/>
        <v>3.08</v>
      </c>
      <c r="AC95" s="149">
        <f t="shared" si="52"/>
        <v>0</v>
      </c>
      <c r="AD95" s="149">
        <f t="shared" si="29"/>
        <v>0</v>
      </c>
      <c r="AE95" s="150">
        <v>79</v>
      </c>
    </row>
    <row r="96" spans="1:31" ht="15" x14ac:dyDescent="0.25">
      <c r="A96" s="133">
        <v>80</v>
      </c>
      <c r="B96" s="166">
        <f t="shared" si="53"/>
        <v>0</v>
      </c>
      <c r="C96" s="44">
        <f t="shared" si="54"/>
        <v>5</v>
      </c>
      <c r="D96" s="197"/>
      <c r="E96" s="166">
        <f t="shared" si="44"/>
        <v>0</v>
      </c>
      <c r="F96" s="44">
        <f t="shared" si="24"/>
        <v>9</v>
      </c>
      <c r="G96" s="44">
        <f t="shared" si="25"/>
        <v>865</v>
      </c>
      <c r="H96" s="197"/>
      <c r="I96" s="167">
        <f t="shared" si="55"/>
        <v>8.3000000000000007</v>
      </c>
      <c r="J96" s="45">
        <f t="shared" si="56"/>
        <v>8.3000000000000004E-2</v>
      </c>
      <c r="K96" s="45">
        <f t="shared" si="26"/>
        <v>3.5300000000000002</v>
      </c>
      <c r="L96" s="200"/>
      <c r="M96" s="168">
        <f t="shared" si="45"/>
        <v>176.5</v>
      </c>
      <c r="N96" s="168">
        <f t="shared" si="46"/>
        <v>35.299999999999997</v>
      </c>
      <c r="O96" s="169">
        <f t="shared" si="57"/>
        <v>8795.4</v>
      </c>
      <c r="P96" s="170">
        <f t="shared" si="47"/>
        <v>2.9318</v>
      </c>
      <c r="Q96" s="171">
        <f t="shared" si="59"/>
        <v>249</v>
      </c>
      <c r="R96" s="172">
        <f t="shared" si="60"/>
        <v>0.28999999999999998</v>
      </c>
      <c r="S96" s="173">
        <f t="shared" si="58"/>
        <v>254</v>
      </c>
      <c r="T96" s="172">
        <f t="shared" si="61"/>
        <v>0.28999999999999998</v>
      </c>
      <c r="U96" s="203"/>
      <c r="V96" s="174">
        <f t="shared" si="48"/>
        <v>759.66</v>
      </c>
      <c r="W96" s="175">
        <f t="shared" si="27"/>
        <v>9555.06</v>
      </c>
      <c r="X96" s="176">
        <f t="shared" si="28"/>
        <v>0.09</v>
      </c>
      <c r="Y96" s="176">
        <f t="shared" si="49"/>
        <v>0.25</v>
      </c>
      <c r="Z96" s="206"/>
      <c r="AA96" s="177">
        <f t="shared" si="50"/>
        <v>-6555.06</v>
      </c>
      <c r="AB96" s="176">
        <f t="shared" si="51"/>
        <v>3.19</v>
      </c>
      <c r="AC96" s="178">
        <f t="shared" si="52"/>
        <v>0</v>
      </c>
      <c r="AD96" s="178">
        <f t="shared" si="29"/>
        <v>0</v>
      </c>
      <c r="AE96" s="150">
        <v>80</v>
      </c>
    </row>
    <row r="97" spans="1:31" ht="15" x14ac:dyDescent="0.25">
      <c r="A97" s="133">
        <v>81</v>
      </c>
      <c r="B97" s="134">
        <f t="shared" si="53"/>
        <v>0</v>
      </c>
      <c r="C97" s="135">
        <f t="shared" si="54"/>
        <v>5</v>
      </c>
      <c r="D97" s="197"/>
      <c r="E97" s="134">
        <f t="shared" si="44"/>
        <v>0</v>
      </c>
      <c r="F97" s="11">
        <f t="shared" si="24"/>
        <v>9</v>
      </c>
      <c r="G97" s="136">
        <f t="shared" si="25"/>
        <v>874</v>
      </c>
      <c r="H97" s="197"/>
      <c r="I97" s="137">
        <f t="shared" si="55"/>
        <v>8.4</v>
      </c>
      <c r="J97" s="12">
        <f t="shared" si="56"/>
        <v>8.4000000000000005E-2</v>
      </c>
      <c r="K97" s="138">
        <f t="shared" si="26"/>
        <v>3.6100000000000003</v>
      </c>
      <c r="L97" s="200"/>
      <c r="M97" s="139">
        <f t="shared" si="45"/>
        <v>180.5</v>
      </c>
      <c r="N97" s="139">
        <f t="shared" si="46"/>
        <v>36.1</v>
      </c>
      <c r="O97" s="140">
        <f t="shared" si="57"/>
        <v>9113.1</v>
      </c>
      <c r="P97" s="141">
        <f t="shared" si="47"/>
        <v>3.0377000000000001</v>
      </c>
      <c r="Q97" s="127">
        <f t="shared" si="59"/>
        <v>252</v>
      </c>
      <c r="R97" s="142">
        <f t="shared" si="60"/>
        <v>0.28999999999999998</v>
      </c>
      <c r="S97" s="143">
        <f t="shared" si="58"/>
        <v>257</v>
      </c>
      <c r="T97" s="144">
        <f t="shared" si="61"/>
        <v>0.28999999999999998</v>
      </c>
      <c r="U97" s="203"/>
      <c r="V97" s="145">
        <f t="shared" si="48"/>
        <v>776.87</v>
      </c>
      <c r="W97" s="146">
        <f t="shared" si="27"/>
        <v>9889.9699999999993</v>
      </c>
      <c r="X97" s="147">
        <f t="shared" si="28"/>
        <v>0.09</v>
      </c>
      <c r="Y97" s="147">
        <f t="shared" si="49"/>
        <v>0.26</v>
      </c>
      <c r="Z97" s="206"/>
      <c r="AA97" s="148">
        <f t="shared" si="50"/>
        <v>-6889.97</v>
      </c>
      <c r="AB97" s="147">
        <f t="shared" si="51"/>
        <v>3.3</v>
      </c>
      <c r="AC97" s="149">
        <f t="shared" si="52"/>
        <v>0</v>
      </c>
      <c r="AD97" s="149">
        <f t="shared" si="29"/>
        <v>0</v>
      </c>
      <c r="AE97" s="150">
        <v>81</v>
      </c>
    </row>
    <row r="98" spans="1:31" ht="15" x14ac:dyDescent="0.25">
      <c r="A98" s="133">
        <v>82</v>
      </c>
      <c r="B98" s="134">
        <f t="shared" si="53"/>
        <v>0</v>
      </c>
      <c r="C98" s="135">
        <f t="shared" si="54"/>
        <v>5</v>
      </c>
      <c r="D98" s="197"/>
      <c r="E98" s="134">
        <f t="shared" si="44"/>
        <v>0</v>
      </c>
      <c r="F98" s="11">
        <f t="shared" si="24"/>
        <v>9</v>
      </c>
      <c r="G98" s="136">
        <f t="shared" si="25"/>
        <v>883</v>
      </c>
      <c r="H98" s="197"/>
      <c r="I98" s="137">
        <f t="shared" si="55"/>
        <v>8.5</v>
      </c>
      <c r="J98" s="12">
        <f t="shared" si="56"/>
        <v>8.5000000000000006E-2</v>
      </c>
      <c r="K98" s="138">
        <f t="shared" si="26"/>
        <v>3.7</v>
      </c>
      <c r="L98" s="200"/>
      <c r="M98" s="139">
        <f t="shared" si="45"/>
        <v>185</v>
      </c>
      <c r="N98" s="139">
        <f t="shared" si="46"/>
        <v>37</v>
      </c>
      <c r="O98" s="140">
        <f t="shared" si="57"/>
        <v>9438</v>
      </c>
      <c r="P98" s="141">
        <f t="shared" si="47"/>
        <v>3.1459999999999999</v>
      </c>
      <c r="Q98" s="127">
        <f t="shared" si="59"/>
        <v>255</v>
      </c>
      <c r="R98" s="142">
        <f t="shared" si="60"/>
        <v>0.28999999999999998</v>
      </c>
      <c r="S98" s="143">
        <f t="shared" si="58"/>
        <v>260</v>
      </c>
      <c r="T98" s="144">
        <f t="shared" si="61"/>
        <v>0.28999999999999998</v>
      </c>
      <c r="U98" s="203"/>
      <c r="V98" s="145">
        <f t="shared" si="48"/>
        <v>796.24</v>
      </c>
      <c r="W98" s="146">
        <f t="shared" si="27"/>
        <v>10234.24</v>
      </c>
      <c r="X98" s="147">
        <f t="shared" si="28"/>
        <v>0.08</v>
      </c>
      <c r="Y98" s="147">
        <f t="shared" si="49"/>
        <v>0.27</v>
      </c>
      <c r="Z98" s="206"/>
      <c r="AA98" s="148">
        <f t="shared" si="50"/>
        <v>-7234.24</v>
      </c>
      <c r="AB98" s="147">
        <f t="shared" si="51"/>
        <v>3.41</v>
      </c>
      <c r="AC98" s="149">
        <f t="shared" si="52"/>
        <v>0</v>
      </c>
      <c r="AD98" s="149">
        <f t="shared" si="29"/>
        <v>0</v>
      </c>
      <c r="AE98" s="150">
        <v>82</v>
      </c>
    </row>
    <row r="99" spans="1:31" ht="15" x14ac:dyDescent="0.25">
      <c r="A99" s="133">
        <v>83</v>
      </c>
      <c r="B99" s="134">
        <f t="shared" si="53"/>
        <v>0</v>
      </c>
      <c r="C99" s="135">
        <f t="shared" si="54"/>
        <v>5</v>
      </c>
      <c r="D99" s="197"/>
      <c r="E99" s="134">
        <f t="shared" si="44"/>
        <v>0</v>
      </c>
      <c r="F99" s="11">
        <f t="shared" si="24"/>
        <v>9</v>
      </c>
      <c r="G99" s="136">
        <f t="shared" si="25"/>
        <v>892</v>
      </c>
      <c r="H99" s="197"/>
      <c r="I99" s="137">
        <f t="shared" si="55"/>
        <v>8.6</v>
      </c>
      <c r="J99" s="12">
        <f t="shared" si="56"/>
        <v>8.5999999999999993E-2</v>
      </c>
      <c r="K99" s="138">
        <f t="shared" si="26"/>
        <v>3.79</v>
      </c>
      <c r="L99" s="200"/>
      <c r="M99" s="139">
        <f t="shared" si="45"/>
        <v>189.5</v>
      </c>
      <c r="N99" s="139">
        <f t="shared" si="46"/>
        <v>37.9</v>
      </c>
      <c r="O99" s="140">
        <f t="shared" si="57"/>
        <v>9771</v>
      </c>
      <c r="P99" s="141">
        <f t="shared" si="47"/>
        <v>3.2570000000000001</v>
      </c>
      <c r="Q99" s="127">
        <f t="shared" si="59"/>
        <v>258</v>
      </c>
      <c r="R99" s="142">
        <f t="shared" si="60"/>
        <v>0.28999999999999998</v>
      </c>
      <c r="S99" s="143">
        <f t="shared" si="58"/>
        <v>263</v>
      </c>
      <c r="T99" s="144">
        <f t="shared" si="61"/>
        <v>0.28999999999999998</v>
      </c>
      <c r="U99" s="203"/>
      <c r="V99" s="145">
        <f t="shared" si="48"/>
        <v>815.61</v>
      </c>
      <c r="W99" s="146">
        <f t="shared" si="27"/>
        <v>10586.61</v>
      </c>
      <c r="X99" s="147">
        <f t="shared" si="28"/>
        <v>0.08</v>
      </c>
      <c r="Y99" s="147">
        <f t="shared" si="49"/>
        <v>0.27</v>
      </c>
      <c r="Z99" s="206"/>
      <c r="AA99" s="148">
        <f t="shared" si="50"/>
        <v>-7586.61</v>
      </c>
      <c r="AB99" s="147">
        <f t="shared" si="51"/>
        <v>3.53</v>
      </c>
      <c r="AC99" s="149">
        <f t="shared" si="52"/>
        <v>0</v>
      </c>
      <c r="AD99" s="149">
        <f t="shared" si="29"/>
        <v>0</v>
      </c>
      <c r="AE99" s="150">
        <v>83</v>
      </c>
    </row>
    <row r="100" spans="1:31" ht="15" x14ac:dyDescent="0.25">
      <c r="A100" s="133">
        <v>84</v>
      </c>
      <c r="B100" s="134">
        <f t="shared" si="53"/>
        <v>0</v>
      </c>
      <c r="C100" s="135">
        <f t="shared" si="54"/>
        <v>5</v>
      </c>
      <c r="D100" s="197"/>
      <c r="E100" s="134">
        <f t="shared" si="44"/>
        <v>0</v>
      </c>
      <c r="F100" s="11">
        <f t="shared" si="24"/>
        <v>9</v>
      </c>
      <c r="G100" s="136">
        <f t="shared" si="25"/>
        <v>901</v>
      </c>
      <c r="H100" s="197"/>
      <c r="I100" s="137">
        <f t="shared" si="55"/>
        <v>8.6999999999999993</v>
      </c>
      <c r="J100" s="12">
        <f t="shared" si="56"/>
        <v>8.6999999999999994E-2</v>
      </c>
      <c r="K100" s="138">
        <f t="shared" si="26"/>
        <v>3.88</v>
      </c>
      <c r="L100" s="200"/>
      <c r="M100" s="139">
        <f t="shared" si="45"/>
        <v>194</v>
      </c>
      <c r="N100" s="139">
        <f t="shared" si="46"/>
        <v>38.799999999999997</v>
      </c>
      <c r="O100" s="140">
        <f t="shared" si="57"/>
        <v>10112.1</v>
      </c>
      <c r="P100" s="141">
        <f t="shared" si="47"/>
        <v>3.3707000000000003</v>
      </c>
      <c r="Q100" s="127">
        <f t="shared" si="59"/>
        <v>261</v>
      </c>
      <c r="R100" s="142">
        <f t="shared" si="60"/>
        <v>0.28999999999999998</v>
      </c>
      <c r="S100" s="143">
        <f t="shared" si="58"/>
        <v>266</v>
      </c>
      <c r="T100" s="144">
        <f t="shared" si="61"/>
        <v>0.3</v>
      </c>
      <c r="U100" s="203"/>
      <c r="V100" s="145">
        <f t="shared" si="48"/>
        <v>834.98</v>
      </c>
      <c r="W100" s="146">
        <f t="shared" si="27"/>
        <v>10947.08</v>
      </c>
      <c r="X100" s="147">
        <f t="shared" si="28"/>
        <v>0.08</v>
      </c>
      <c r="Y100" s="147">
        <f t="shared" si="49"/>
        <v>0.28000000000000003</v>
      </c>
      <c r="Z100" s="206"/>
      <c r="AA100" s="148">
        <f t="shared" si="50"/>
        <v>-7947.08</v>
      </c>
      <c r="AB100" s="147">
        <f t="shared" si="51"/>
        <v>3.65</v>
      </c>
      <c r="AC100" s="149">
        <f t="shared" si="52"/>
        <v>0</v>
      </c>
      <c r="AD100" s="149">
        <f t="shared" si="29"/>
        <v>0</v>
      </c>
      <c r="AE100" s="150">
        <v>84</v>
      </c>
    </row>
    <row r="101" spans="1:31" ht="15" x14ac:dyDescent="0.25">
      <c r="A101" s="133">
        <v>85</v>
      </c>
      <c r="B101" s="166">
        <f t="shared" si="53"/>
        <v>0</v>
      </c>
      <c r="C101" s="44">
        <f t="shared" si="54"/>
        <v>5</v>
      </c>
      <c r="D101" s="197"/>
      <c r="E101" s="166">
        <f t="shared" si="44"/>
        <v>0</v>
      </c>
      <c r="F101" s="44">
        <f t="shared" ref="F101:F116" si="62">F100+E101</f>
        <v>9</v>
      </c>
      <c r="G101" s="44">
        <f t="shared" ref="G101:G116" si="63">G100+F101</f>
        <v>910</v>
      </c>
      <c r="H101" s="197"/>
      <c r="I101" s="167">
        <f t="shared" si="55"/>
        <v>8.8000000000000007</v>
      </c>
      <c r="J101" s="45">
        <f t="shared" si="56"/>
        <v>8.7999999999999995E-2</v>
      </c>
      <c r="K101" s="45">
        <f t="shared" ref="K101:K116" si="64">K100+ROUND(J101,2)</f>
        <v>3.9699999999999998</v>
      </c>
      <c r="L101" s="200"/>
      <c r="M101" s="168">
        <f t="shared" si="45"/>
        <v>198.5</v>
      </c>
      <c r="N101" s="168">
        <f t="shared" si="46"/>
        <v>39.700000000000003</v>
      </c>
      <c r="O101" s="169">
        <f t="shared" si="57"/>
        <v>10461.299999999999</v>
      </c>
      <c r="P101" s="170">
        <f t="shared" si="47"/>
        <v>3.4870999999999999</v>
      </c>
      <c r="Q101" s="171">
        <f t="shared" si="59"/>
        <v>264</v>
      </c>
      <c r="R101" s="172">
        <f t="shared" si="60"/>
        <v>0.28999999999999998</v>
      </c>
      <c r="S101" s="173">
        <f t="shared" si="58"/>
        <v>269</v>
      </c>
      <c r="T101" s="172">
        <f t="shared" si="61"/>
        <v>0.3</v>
      </c>
      <c r="U101" s="203"/>
      <c r="V101" s="174">
        <f t="shared" si="48"/>
        <v>854.34</v>
      </c>
      <c r="W101" s="175">
        <f t="shared" ref="W101:W116" si="65">ROUND(O101+V101,2)</f>
        <v>11315.64</v>
      </c>
      <c r="X101" s="176">
        <f t="shared" ref="X101:X116" si="66">IF(O101&gt;0,ROUND(V101/O101,2),0)</f>
        <v>0.08</v>
      </c>
      <c r="Y101" s="176">
        <f t="shared" si="49"/>
        <v>0.28000000000000003</v>
      </c>
      <c r="Z101" s="206"/>
      <c r="AA101" s="177">
        <f t="shared" si="50"/>
        <v>-8315.64</v>
      </c>
      <c r="AB101" s="176">
        <f t="shared" si="51"/>
        <v>3.77</v>
      </c>
      <c r="AC101" s="178">
        <f t="shared" si="52"/>
        <v>0</v>
      </c>
      <c r="AD101" s="178">
        <f t="shared" ref="AD101:AD116" si="67">IF(AC101&gt;0,AC101+G101,0)</f>
        <v>0</v>
      </c>
      <c r="AE101" s="150">
        <v>85</v>
      </c>
    </row>
    <row r="102" spans="1:31" ht="15" x14ac:dyDescent="0.25">
      <c r="A102" s="133">
        <v>86</v>
      </c>
      <c r="B102" s="134">
        <f t="shared" si="53"/>
        <v>0</v>
      </c>
      <c r="C102" s="135">
        <f t="shared" si="54"/>
        <v>5</v>
      </c>
      <c r="D102" s="197"/>
      <c r="E102" s="134">
        <f t="shared" si="44"/>
        <v>0</v>
      </c>
      <c r="F102" s="11">
        <f t="shared" si="62"/>
        <v>9</v>
      </c>
      <c r="G102" s="136">
        <f t="shared" si="63"/>
        <v>919</v>
      </c>
      <c r="H102" s="197"/>
      <c r="I102" s="137">
        <f t="shared" si="55"/>
        <v>8.9</v>
      </c>
      <c r="J102" s="12">
        <f t="shared" si="56"/>
        <v>8.8999999999999996E-2</v>
      </c>
      <c r="K102" s="138">
        <f t="shared" si="64"/>
        <v>4.0599999999999996</v>
      </c>
      <c r="L102" s="200"/>
      <c r="M102" s="139">
        <f t="shared" si="45"/>
        <v>203</v>
      </c>
      <c r="N102" s="139">
        <f t="shared" si="46"/>
        <v>40.6</v>
      </c>
      <c r="O102" s="140">
        <f t="shared" si="57"/>
        <v>10818.6</v>
      </c>
      <c r="P102" s="141">
        <f t="shared" si="47"/>
        <v>3.6062000000000003</v>
      </c>
      <c r="Q102" s="127">
        <f t="shared" si="59"/>
        <v>266</v>
      </c>
      <c r="R102" s="142">
        <f t="shared" si="60"/>
        <v>0.28999999999999998</v>
      </c>
      <c r="S102" s="143">
        <f t="shared" si="58"/>
        <v>271</v>
      </c>
      <c r="T102" s="144">
        <f t="shared" si="61"/>
        <v>0.28999999999999998</v>
      </c>
      <c r="U102" s="203"/>
      <c r="V102" s="145">
        <f t="shared" si="48"/>
        <v>873.71</v>
      </c>
      <c r="W102" s="146">
        <f t="shared" si="65"/>
        <v>11692.31</v>
      </c>
      <c r="X102" s="147">
        <f t="shared" si="66"/>
        <v>0.08</v>
      </c>
      <c r="Y102" s="147">
        <f t="shared" si="49"/>
        <v>0.28999999999999998</v>
      </c>
      <c r="Z102" s="206"/>
      <c r="AA102" s="148">
        <f t="shared" si="50"/>
        <v>-8692.31</v>
      </c>
      <c r="AB102" s="147">
        <f t="shared" si="51"/>
        <v>3.9</v>
      </c>
      <c r="AC102" s="149">
        <f t="shared" si="52"/>
        <v>0</v>
      </c>
      <c r="AD102" s="149">
        <f t="shared" si="67"/>
        <v>0</v>
      </c>
      <c r="AE102" s="150">
        <v>86</v>
      </c>
    </row>
    <row r="103" spans="1:31" ht="15" x14ac:dyDescent="0.25">
      <c r="A103" s="133">
        <v>87</v>
      </c>
      <c r="B103" s="134">
        <f t="shared" si="53"/>
        <v>0</v>
      </c>
      <c r="C103" s="135">
        <f t="shared" si="54"/>
        <v>5</v>
      </c>
      <c r="D103" s="197"/>
      <c r="E103" s="134">
        <f t="shared" si="44"/>
        <v>0</v>
      </c>
      <c r="F103" s="11">
        <f t="shared" si="62"/>
        <v>9</v>
      </c>
      <c r="G103" s="136">
        <f t="shared" si="63"/>
        <v>928</v>
      </c>
      <c r="H103" s="197"/>
      <c r="I103" s="137">
        <f t="shared" si="55"/>
        <v>9</v>
      </c>
      <c r="J103" s="12">
        <f t="shared" si="56"/>
        <v>0.09</v>
      </c>
      <c r="K103" s="138">
        <f t="shared" si="64"/>
        <v>4.1499999999999995</v>
      </c>
      <c r="L103" s="200"/>
      <c r="M103" s="139">
        <f t="shared" si="45"/>
        <v>207.5</v>
      </c>
      <c r="N103" s="139">
        <f t="shared" si="46"/>
        <v>41.5</v>
      </c>
      <c r="O103" s="140">
        <f t="shared" si="57"/>
        <v>11184</v>
      </c>
      <c r="P103" s="141">
        <f t="shared" si="47"/>
        <v>3.7280000000000002</v>
      </c>
      <c r="Q103" s="127">
        <f t="shared" si="59"/>
        <v>269</v>
      </c>
      <c r="R103" s="142">
        <f t="shared" si="60"/>
        <v>0.28999999999999998</v>
      </c>
      <c r="S103" s="143">
        <f t="shared" si="58"/>
        <v>274</v>
      </c>
      <c r="T103" s="144">
        <f t="shared" si="61"/>
        <v>0.3</v>
      </c>
      <c r="U103" s="203"/>
      <c r="V103" s="145">
        <f t="shared" si="48"/>
        <v>893.08</v>
      </c>
      <c r="W103" s="146">
        <f t="shared" si="65"/>
        <v>12077.08</v>
      </c>
      <c r="X103" s="147">
        <f t="shared" si="66"/>
        <v>0.08</v>
      </c>
      <c r="Y103" s="147">
        <f t="shared" si="49"/>
        <v>0.3</v>
      </c>
      <c r="Z103" s="206"/>
      <c r="AA103" s="148">
        <f t="shared" si="50"/>
        <v>-9077.08</v>
      </c>
      <c r="AB103" s="147">
        <f t="shared" si="51"/>
        <v>4.03</v>
      </c>
      <c r="AC103" s="149">
        <f t="shared" si="52"/>
        <v>0</v>
      </c>
      <c r="AD103" s="149">
        <f t="shared" si="67"/>
        <v>0</v>
      </c>
      <c r="AE103" s="150">
        <v>87</v>
      </c>
    </row>
    <row r="104" spans="1:31" ht="15" x14ac:dyDescent="0.25">
      <c r="A104" s="133">
        <v>88</v>
      </c>
      <c r="B104" s="134">
        <f t="shared" si="53"/>
        <v>0</v>
      </c>
      <c r="C104" s="135">
        <f t="shared" si="54"/>
        <v>5</v>
      </c>
      <c r="D104" s="197"/>
      <c r="E104" s="134">
        <f t="shared" si="44"/>
        <v>0</v>
      </c>
      <c r="F104" s="11">
        <f t="shared" si="62"/>
        <v>9</v>
      </c>
      <c r="G104" s="136">
        <f t="shared" si="63"/>
        <v>937</v>
      </c>
      <c r="H104" s="197"/>
      <c r="I104" s="137">
        <f t="shared" si="55"/>
        <v>9.1</v>
      </c>
      <c r="J104" s="12">
        <f t="shared" si="56"/>
        <v>9.0999999999999998E-2</v>
      </c>
      <c r="K104" s="138">
        <f t="shared" si="64"/>
        <v>4.2399999999999993</v>
      </c>
      <c r="L104" s="200"/>
      <c r="M104" s="139">
        <f t="shared" si="45"/>
        <v>212</v>
      </c>
      <c r="N104" s="139">
        <f t="shared" si="46"/>
        <v>42.4</v>
      </c>
      <c r="O104" s="140">
        <f t="shared" si="57"/>
        <v>11557.5</v>
      </c>
      <c r="P104" s="141">
        <f t="shared" si="47"/>
        <v>3.8525</v>
      </c>
      <c r="Q104" s="127">
        <f t="shared" si="59"/>
        <v>273</v>
      </c>
      <c r="R104" s="142">
        <f t="shared" si="60"/>
        <v>0.28999999999999998</v>
      </c>
      <c r="S104" s="143">
        <f t="shared" si="58"/>
        <v>278</v>
      </c>
      <c r="T104" s="144">
        <f t="shared" si="61"/>
        <v>0.3</v>
      </c>
      <c r="U104" s="203"/>
      <c r="V104" s="145">
        <f t="shared" si="48"/>
        <v>912.45</v>
      </c>
      <c r="W104" s="146">
        <f t="shared" si="65"/>
        <v>12469.95</v>
      </c>
      <c r="X104" s="147">
        <f t="shared" si="66"/>
        <v>0.08</v>
      </c>
      <c r="Y104" s="147">
        <f t="shared" si="49"/>
        <v>0.3</v>
      </c>
      <c r="Z104" s="206"/>
      <c r="AA104" s="148">
        <f t="shared" si="50"/>
        <v>-9469.9500000000007</v>
      </c>
      <c r="AB104" s="147">
        <f t="shared" si="51"/>
        <v>4.16</v>
      </c>
      <c r="AC104" s="149">
        <f t="shared" si="52"/>
        <v>0</v>
      </c>
      <c r="AD104" s="149">
        <f t="shared" si="67"/>
        <v>0</v>
      </c>
      <c r="AE104" s="150">
        <v>88</v>
      </c>
    </row>
    <row r="105" spans="1:31" ht="15" x14ac:dyDescent="0.25">
      <c r="A105" s="133">
        <v>89</v>
      </c>
      <c r="B105" s="134">
        <f t="shared" si="53"/>
        <v>0</v>
      </c>
      <c r="C105" s="135">
        <f t="shared" si="54"/>
        <v>5</v>
      </c>
      <c r="D105" s="197"/>
      <c r="E105" s="134">
        <f t="shared" si="44"/>
        <v>0</v>
      </c>
      <c r="F105" s="11">
        <f t="shared" si="62"/>
        <v>9</v>
      </c>
      <c r="G105" s="136">
        <f t="shared" si="63"/>
        <v>946</v>
      </c>
      <c r="H105" s="197"/>
      <c r="I105" s="137">
        <f t="shared" si="55"/>
        <v>9.1999999999999993</v>
      </c>
      <c r="J105" s="12">
        <f t="shared" si="56"/>
        <v>9.1999999999999998E-2</v>
      </c>
      <c r="K105" s="138">
        <f t="shared" si="64"/>
        <v>4.3299999999999992</v>
      </c>
      <c r="L105" s="200"/>
      <c r="M105" s="139">
        <f t="shared" si="45"/>
        <v>216.5</v>
      </c>
      <c r="N105" s="139">
        <f t="shared" si="46"/>
        <v>43.3</v>
      </c>
      <c r="O105" s="140">
        <f t="shared" si="57"/>
        <v>11939.1</v>
      </c>
      <c r="P105" s="141">
        <f t="shared" si="47"/>
        <v>3.9797000000000002</v>
      </c>
      <c r="Q105" s="127">
        <f t="shared" si="59"/>
        <v>276</v>
      </c>
      <c r="R105" s="142">
        <f t="shared" si="60"/>
        <v>0.28999999999999998</v>
      </c>
      <c r="S105" s="143">
        <f t="shared" si="58"/>
        <v>281</v>
      </c>
      <c r="T105" s="144">
        <f t="shared" si="61"/>
        <v>0.3</v>
      </c>
      <c r="U105" s="203"/>
      <c r="V105" s="145">
        <f t="shared" si="48"/>
        <v>931.82</v>
      </c>
      <c r="W105" s="146">
        <f t="shared" si="65"/>
        <v>12870.92</v>
      </c>
      <c r="X105" s="147">
        <f t="shared" si="66"/>
        <v>0.08</v>
      </c>
      <c r="Y105" s="147">
        <f t="shared" si="49"/>
        <v>0.31</v>
      </c>
      <c r="Z105" s="206"/>
      <c r="AA105" s="148">
        <f t="shared" si="50"/>
        <v>-9870.92</v>
      </c>
      <c r="AB105" s="147">
        <f t="shared" si="51"/>
        <v>4.29</v>
      </c>
      <c r="AC105" s="149">
        <f t="shared" si="52"/>
        <v>0</v>
      </c>
      <c r="AD105" s="149">
        <f t="shared" si="67"/>
        <v>0</v>
      </c>
      <c r="AE105" s="150">
        <v>89</v>
      </c>
    </row>
    <row r="106" spans="1:31" ht="15" x14ac:dyDescent="0.25">
      <c r="A106" s="133">
        <v>90</v>
      </c>
      <c r="B106" s="166">
        <f t="shared" si="53"/>
        <v>0</v>
      </c>
      <c r="C106" s="44">
        <f t="shared" si="54"/>
        <v>5</v>
      </c>
      <c r="D106" s="197"/>
      <c r="E106" s="166">
        <f t="shared" si="44"/>
        <v>0</v>
      </c>
      <c r="F106" s="44">
        <f t="shared" si="62"/>
        <v>9</v>
      </c>
      <c r="G106" s="44">
        <f t="shared" si="63"/>
        <v>955</v>
      </c>
      <c r="H106" s="197"/>
      <c r="I106" s="167">
        <f t="shared" si="55"/>
        <v>9.3000000000000007</v>
      </c>
      <c r="J106" s="45">
        <f t="shared" si="56"/>
        <v>9.2999999999999999E-2</v>
      </c>
      <c r="K106" s="45">
        <f t="shared" si="64"/>
        <v>4.419999999999999</v>
      </c>
      <c r="L106" s="200"/>
      <c r="M106" s="168">
        <f t="shared" si="45"/>
        <v>221</v>
      </c>
      <c r="N106" s="168">
        <f t="shared" si="46"/>
        <v>44.2</v>
      </c>
      <c r="O106" s="169">
        <f t="shared" si="57"/>
        <v>12328.8</v>
      </c>
      <c r="P106" s="170">
        <f t="shared" si="47"/>
        <v>4.1095999999999995</v>
      </c>
      <c r="Q106" s="171">
        <f t="shared" si="59"/>
        <v>279</v>
      </c>
      <c r="R106" s="172">
        <f t="shared" si="60"/>
        <v>0.28999999999999998</v>
      </c>
      <c r="S106" s="173">
        <f t="shared" si="58"/>
        <v>284</v>
      </c>
      <c r="T106" s="172">
        <f t="shared" si="61"/>
        <v>0.3</v>
      </c>
      <c r="U106" s="203"/>
      <c r="V106" s="174">
        <f t="shared" si="48"/>
        <v>951.18</v>
      </c>
      <c r="W106" s="175">
        <f t="shared" si="65"/>
        <v>13279.98</v>
      </c>
      <c r="X106" s="176">
        <f t="shared" si="66"/>
        <v>0.08</v>
      </c>
      <c r="Y106" s="176">
        <f t="shared" si="49"/>
        <v>0.32</v>
      </c>
      <c r="Z106" s="206"/>
      <c r="AA106" s="177">
        <f t="shared" si="50"/>
        <v>-10279.98</v>
      </c>
      <c r="AB106" s="176">
        <f t="shared" si="51"/>
        <v>4.43</v>
      </c>
      <c r="AC106" s="178">
        <f t="shared" si="52"/>
        <v>0</v>
      </c>
      <c r="AD106" s="178">
        <f t="shared" si="67"/>
        <v>0</v>
      </c>
      <c r="AE106" s="150">
        <v>90</v>
      </c>
    </row>
    <row r="107" spans="1:31" ht="15" x14ac:dyDescent="0.25">
      <c r="A107" s="133">
        <v>91</v>
      </c>
      <c r="B107" s="134">
        <f t="shared" si="53"/>
        <v>0</v>
      </c>
      <c r="C107" s="135">
        <f t="shared" si="54"/>
        <v>5</v>
      </c>
      <c r="D107" s="197"/>
      <c r="E107" s="134">
        <f t="shared" si="44"/>
        <v>0</v>
      </c>
      <c r="F107" s="11">
        <f t="shared" si="62"/>
        <v>9</v>
      </c>
      <c r="G107" s="136">
        <f t="shared" si="63"/>
        <v>964</v>
      </c>
      <c r="H107" s="197"/>
      <c r="I107" s="137">
        <f t="shared" si="55"/>
        <v>9.4</v>
      </c>
      <c r="J107" s="12">
        <f t="shared" si="56"/>
        <v>9.4E-2</v>
      </c>
      <c r="K107" s="138">
        <f t="shared" si="64"/>
        <v>4.5099999999999989</v>
      </c>
      <c r="L107" s="200"/>
      <c r="M107" s="139">
        <f t="shared" si="45"/>
        <v>225.5</v>
      </c>
      <c r="N107" s="139">
        <f t="shared" si="46"/>
        <v>45.1</v>
      </c>
      <c r="O107" s="140">
        <f t="shared" si="57"/>
        <v>12726.6</v>
      </c>
      <c r="P107" s="141">
        <f t="shared" si="47"/>
        <v>4.2422000000000004</v>
      </c>
      <c r="Q107" s="127">
        <f t="shared" si="59"/>
        <v>282</v>
      </c>
      <c r="R107" s="142">
        <f t="shared" si="60"/>
        <v>0.28999999999999998</v>
      </c>
      <c r="S107" s="143">
        <f t="shared" si="58"/>
        <v>287</v>
      </c>
      <c r="T107" s="144">
        <f t="shared" si="61"/>
        <v>0.3</v>
      </c>
      <c r="U107" s="203"/>
      <c r="V107" s="145">
        <f t="shared" si="48"/>
        <v>970.55</v>
      </c>
      <c r="W107" s="146">
        <f t="shared" si="65"/>
        <v>13697.15</v>
      </c>
      <c r="X107" s="147">
        <f t="shared" si="66"/>
        <v>0.08</v>
      </c>
      <c r="Y107" s="147">
        <f t="shared" si="49"/>
        <v>0.32</v>
      </c>
      <c r="Z107" s="206"/>
      <c r="AA107" s="148">
        <f t="shared" si="50"/>
        <v>-10697.15</v>
      </c>
      <c r="AB107" s="147">
        <f t="shared" si="51"/>
        <v>4.57</v>
      </c>
      <c r="AC107" s="149">
        <f t="shared" si="52"/>
        <v>0</v>
      </c>
      <c r="AD107" s="149">
        <f t="shared" si="67"/>
        <v>0</v>
      </c>
      <c r="AE107" s="150">
        <v>91</v>
      </c>
    </row>
    <row r="108" spans="1:31" ht="15" x14ac:dyDescent="0.25">
      <c r="A108" s="133">
        <v>92</v>
      </c>
      <c r="B108" s="134">
        <f t="shared" si="53"/>
        <v>0</v>
      </c>
      <c r="C108" s="135">
        <f t="shared" si="54"/>
        <v>5</v>
      </c>
      <c r="D108" s="197"/>
      <c r="E108" s="134">
        <f t="shared" si="44"/>
        <v>0</v>
      </c>
      <c r="F108" s="11">
        <f t="shared" si="62"/>
        <v>9</v>
      </c>
      <c r="G108" s="136">
        <f t="shared" si="63"/>
        <v>973</v>
      </c>
      <c r="H108" s="197"/>
      <c r="I108" s="137">
        <f t="shared" si="55"/>
        <v>9.5</v>
      </c>
      <c r="J108" s="12">
        <f t="shared" si="56"/>
        <v>9.5000000000000001E-2</v>
      </c>
      <c r="K108" s="138">
        <f t="shared" si="64"/>
        <v>4.6099999999999985</v>
      </c>
      <c r="L108" s="200"/>
      <c r="M108" s="139">
        <f t="shared" si="45"/>
        <v>230.5</v>
      </c>
      <c r="N108" s="139">
        <f t="shared" si="46"/>
        <v>46.1</v>
      </c>
      <c r="O108" s="140">
        <f t="shared" si="57"/>
        <v>13132.5</v>
      </c>
      <c r="P108" s="141">
        <f t="shared" si="47"/>
        <v>4.3775000000000004</v>
      </c>
      <c r="Q108" s="127">
        <f t="shared" si="59"/>
        <v>285</v>
      </c>
      <c r="R108" s="142">
        <f t="shared" si="60"/>
        <v>0.28999999999999998</v>
      </c>
      <c r="S108" s="143">
        <f t="shared" si="58"/>
        <v>290</v>
      </c>
      <c r="T108" s="144">
        <f t="shared" si="61"/>
        <v>0.3</v>
      </c>
      <c r="U108" s="203"/>
      <c r="V108" s="145">
        <f t="shared" si="48"/>
        <v>992.07</v>
      </c>
      <c r="W108" s="146">
        <f t="shared" si="65"/>
        <v>14124.57</v>
      </c>
      <c r="X108" s="147">
        <f t="shared" si="66"/>
        <v>0.08</v>
      </c>
      <c r="Y108" s="147">
        <f t="shared" si="49"/>
        <v>0.33</v>
      </c>
      <c r="Z108" s="206"/>
      <c r="AA108" s="148">
        <f t="shared" si="50"/>
        <v>-11124.57</v>
      </c>
      <c r="AB108" s="147">
        <f t="shared" si="51"/>
        <v>4.71</v>
      </c>
      <c r="AC108" s="149">
        <f t="shared" si="52"/>
        <v>0</v>
      </c>
      <c r="AD108" s="149">
        <f t="shared" si="67"/>
        <v>0</v>
      </c>
      <c r="AE108" s="150">
        <v>92</v>
      </c>
    </row>
    <row r="109" spans="1:31" ht="15" x14ac:dyDescent="0.25">
      <c r="A109" s="133">
        <v>93</v>
      </c>
      <c r="B109" s="134">
        <f t="shared" si="53"/>
        <v>0</v>
      </c>
      <c r="C109" s="135">
        <f t="shared" si="54"/>
        <v>5</v>
      </c>
      <c r="D109" s="197"/>
      <c r="E109" s="134">
        <f t="shared" si="44"/>
        <v>0</v>
      </c>
      <c r="F109" s="11">
        <f t="shared" si="62"/>
        <v>9</v>
      </c>
      <c r="G109" s="136">
        <f t="shared" si="63"/>
        <v>982</v>
      </c>
      <c r="H109" s="197"/>
      <c r="I109" s="137">
        <f t="shared" si="55"/>
        <v>9.6</v>
      </c>
      <c r="J109" s="12">
        <f t="shared" si="56"/>
        <v>9.6000000000000002E-2</v>
      </c>
      <c r="K109" s="138">
        <f t="shared" si="64"/>
        <v>4.7099999999999982</v>
      </c>
      <c r="L109" s="200"/>
      <c r="M109" s="139">
        <f t="shared" si="45"/>
        <v>235.5</v>
      </c>
      <c r="N109" s="139">
        <f t="shared" si="46"/>
        <v>47.1</v>
      </c>
      <c r="O109" s="140">
        <f t="shared" si="57"/>
        <v>13547.4</v>
      </c>
      <c r="P109" s="141">
        <f t="shared" si="47"/>
        <v>4.5157999999999996</v>
      </c>
      <c r="Q109" s="127">
        <f t="shared" si="59"/>
        <v>288</v>
      </c>
      <c r="R109" s="142">
        <f t="shared" si="60"/>
        <v>0.28999999999999998</v>
      </c>
      <c r="S109" s="143">
        <f t="shared" si="58"/>
        <v>293</v>
      </c>
      <c r="T109" s="144">
        <f t="shared" si="61"/>
        <v>0.3</v>
      </c>
      <c r="U109" s="203"/>
      <c r="V109" s="145">
        <f t="shared" si="48"/>
        <v>1013.59</v>
      </c>
      <c r="W109" s="146">
        <f t="shared" si="65"/>
        <v>14560.99</v>
      </c>
      <c r="X109" s="147">
        <f t="shared" si="66"/>
        <v>7.0000000000000007E-2</v>
      </c>
      <c r="Y109" s="147">
        <f t="shared" si="49"/>
        <v>0.34</v>
      </c>
      <c r="Z109" s="206"/>
      <c r="AA109" s="148">
        <f t="shared" si="50"/>
        <v>-11560.99</v>
      </c>
      <c r="AB109" s="147">
        <f t="shared" si="51"/>
        <v>4.8499999999999996</v>
      </c>
      <c r="AC109" s="149">
        <f t="shared" si="52"/>
        <v>0</v>
      </c>
      <c r="AD109" s="149">
        <f t="shared" si="67"/>
        <v>0</v>
      </c>
      <c r="AE109" s="150">
        <v>93</v>
      </c>
    </row>
    <row r="110" spans="1:31" ht="15" x14ac:dyDescent="0.25">
      <c r="A110" s="133">
        <v>94</v>
      </c>
      <c r="B110" s="134">
        <f t="shared" si="53"/>
        <v>0</v>
      </c>
      <c r="C110" s="135">
        <f t="shared" si="54"/>
        <v>5</v>
      </c>
      <c r="D110" s="197"/>
      <c r="E110" s="134">
        <f t="shared" si="44"/>
        <v>0</v>
      </c>
      <c r="F110" s="11">
        <f t="shared" si="62"/>
        <v>9</v>
      </c>
      <c r="G110" s="136">
        <f t="shared" si="63"/>
        <v>991</v>
      </c>
      <c r="H110" s="197"/>
      <c r="I110" s="137">
        <f t="shared" si="55"/>
        <v>9.6999999999999993</v>
      </c>
      <c r="J110" s="12">
        <f t="shared" si="56"/>
        <v>9.7000000000000003E-2</v>
      </c>
      <c r="K110" s="138">
        <f t="shared" si="64"/>
        <v>4.8099999999999978</v>
      </c>
      <c r="L110" s="200"/>
      <c r="M110" s="139">
        <f t="shared" si="45"/>
        <v>240.5</v>
      </c>
      <c r="N110" s="139">
        <f t="shared" si="46"/>
        <v>48.1</v>
      </c>
      <c r="O110" s="140">
        <f t="shared" si="57"/>
        <v>13971.3</v>
      </c>
      <c r="P110" s="141">
        <f t="shared" si="47"/>
        <v>4.6570999999999998</v>
      </c>
      <c r="Q110" s="127">
        <f t="shared" si="59"/>
        <v>290</v>
      </c>
      <c r="R110" s="142">
        <f t="shared" si="60"/>
        <v>0.28999999999999998</v>
      </c>
      <c r="S110" s="143">
        <f t="shared" si="58"/>
        <v>295</v>
      </c>
      <c r="T110" s="144">
        <f t="shared" si="61"/>
        <v>0.3</v>
      </c>
      <c r="U110" s="203"/>
      <c r="V110" s="145">
        <f t="shared" si="48"/>
        <v>1035.1099999999999</v>
      </c>
      <c r="W110" s="146">
        <f t="shared" si="65"/>
        <v>15006.41</v>
      </c>
      <c r="X110" s="147">
        <f t="shared" si="66"/>
        <v>7.0000000000000007E-2</v>
      </c>
      <c r="Y110" s="147">
        <f t="shared" si="49"/>
        <v>0.35</v>
      </c>
      <c r="Z110" s="206"/>
      <c r="AA110" s="148">
        <f t="shared" si="50"/>
        <v>-12006.41</v>
      </c>
      <c r="AB110" s="147">
        <f t="shared" si="51"/>
        <v>5</v>
      </c>
      <c r="AC110" s="149">
        <f t="shared" si="52"/>
        <v>0</v>
      </c>
      <c r="AD110" s="149">
        <f t="shared" si="67"/>
        <v>0</v>
      </c>
      <c r="AE110" s="150">
        <v>94</v>
      </c>
    </row>
    <row r="111" spans="1:31" ht="15" x14ac:dyDescent="0.25">
      <c r="A111" s="133">
        <v>95</v>
      </c>
      <c r="B111" s="166">
        <f t="shared" si="53"/>
        <v>0</v>
      </c>
      <c r="C111" s="44">
        <f t="shared" si="54"/>
        <v>5</v>
      </c>
      <c r="D111" s="197"/>
      <c r="E111" s="166">
        <f t="shared" si="44"/>
        <v>0</v>
      </c>
      <c r="F111" s="44">
        <f t="shared" si="62"/>
        <v>9</v>
      </c>
      <c r="G111" s="44">
        <f t="shared" si="63"/>
        <v>1000</v>
      </c>
      <c r="H111" s="197"/>
      <c r="I111" s="167">
        <f t="shared" si="55"/>
        <v>9.8000000000000007</v>
      </c>
      <c r="J111" s="45">
        <f t="shared" si="56"/>
        <v>9.8000000000000004E-2</v>
      </c>
      <c r="K111" s="45">
        <f t="shared" si="64"/>
        <v>4.9099999999999975</v>
      </c>
      <c r="L111" s="200"/>
      <c r="M111" s="168">
        <f t="shared" si="45"/>
        <v>245.5</v>
      </c>
      <c r="N111" s="168">
        <f t="shared" si="46"/>
        <v>49.1</v>
      </c>
      <c r="O111" s="169">
        <f t="shared" si="57"/>
        <v>14404.2</v>
      </c>
      <c r="P111" s="170">
        <f t="shared" si="47"/>
        <v>4.8014000000000001</v>
      </c>
      <c r="Q111" s="171">
        <f t="shared" si="59"/>
        <v>293</v>
      </c>
      <c r="R111" s="172">
        <f t="shared" si="60"/>
        <v>0.28999999999999998</v>
      </c>
      <c r="S111" s="173">
        <f t="shared" si="58"/>
        <v>298</v>
      </c>
      <c r="T111" s="172">
        <f t="shared" si="61"/>
        <v>0.3</v>
      </c>
      <c r="U111" s="203"/>
      <c r="V111" s="174">
        <f t="shared" si="48"/>
        <v>1056.6300000000001</v>
      </c>
      <c r="W111" s="175">
        <f t="shared" si="65"/>
        <v>15460.83</v>
      </c>
      <c r="X111" s="176">
        <f t="shared" si="66"/>
        <v>7.0000000000000007E-2</v>
      </c>
      <c r="Y111" s="176">
        <f t="shared" si="49"/>
        <v>0.35</v>
      </c>
      <c r="Z111" s="206"/>
      <c r="AA111" s="177">
        <f t="shared" si="50"/>
        <v>-12460.83</v>
      </c>
      <c r="AB111" s="176">
        <f t="shared" si="51"/>
        <v>5.15</v>
      </c>
      <c r="AC111" s="178">
        <f t="shared" si="52"/>
        <v>0</v>
      </c>
      <c r="AD111" s="178">
        <f t="shared" si="67"/>
        <v>0</v>
      </c>
      <c r="AE111" s="150">
        <v>95</v>
      </c>
    </row>
    <row r="112" spans="1:31" ht="15" x14ac:dyDescent="0.25">
      <c r="A112" s="133">
        <v>96</v>
      </c>
      <c r="B112" s="134">
        <f t="shared" si="53"/>
        <v>0</v>
      </c>
      <c r="C112" s="135">
        <f t="shared" si="54"/>
        <v>5</v>
      </c>
      <c r="D112" s="197"/>
      <c r="E112" s="134">
        <f t="shared" si="44"/>
        <v>0</v>
      </c>
      <c r="F112" s="11">
        <f t="shared" si="62"/>
        <v>9</v>
      </c>
      <c r="G112" s="136">
        <f t="shared" si="63"/>
        <v>1009</v>
      </c>
      <c r="H112" s="197"/>
      <c r="I112" s="137">
        <f t="shared" si="55"/>
        <v>9.9</v>
      </c>
      <c r="J112" s="12">
        <f t="shared" si="56"/>
        <v>9.9000000000000005E-2</v>
      </c>
      <c r="K112" s="138">
        <f t="shared" si="64"/>
        <v>5.0099999999999971</v>
      </c>
      <c r="L112" s="200"/>
      <c r="M112" s="139">
        <f t="shared" si="45"/>
        <v>250.5</v>
      </c>
      <c r="N112" s="139">
        <f t="shared" si="46"/>
        <v>50.1</v>
      </c>
      <c r="O112" s="140">
        <f t="shared" si="57"/>
        <v>14846.1</v>
      </c>
      <c r="P112" s="141">
        <f t="shared" si="47"/>
        <v>4.9487000000000005</v>
      </c>
      <c r="Q112" s="127">
        <f t="shared" si="59"/>
        <v>296</v>
      </c>
      <c r="R112" s="142">
        <f t="shared" si="60"/>
        <v>0.28999999999999998</v>
      </c>
      <c r="S112" s="143">
        <f t="shared" si="58"/>
        <v>301</v>
      </c>
      <c r="T112" s="144">
        <f t="shared" si="61"/>
        <v>0.3</v>
      </c>
      <c r="U112" s="203"/>
      <c r="V112" s="145">
        <f t="shared" si="48"/>
        <v>1078.1500000000001</v>
      </c>
      <c r="W112" s="146">
        <f t="shared" si="65"/>
        <v>15924.25</v>
      </c>
      <c r="X112" s="147">
        <f t="shared" si="66"/>
        <v>7.0000000000000007E-2</v>
      </c>
      <c r="Y112" s="147">
        <f t="shared" si="49"/>
        <v>0.36</v>
      </c>
      <c r="Z112" s="206"/>
      <c r="AA112" s="148">
        <f t="shared" si="50"/>
        <v>-12924.25</v>
      </c>
      <c r="AB112" s="147">
        <f t="shared" si="51"/>
        <v>5.31</v>
      </c>
      <c r="AC112" s="149">
        <f t="shared" si="52"/>
        <v>0</v>
      </c>
      <c r="AD112" s="149">
        <f t="shared" si="67"/>
        <v>0</v>
      </c>
      <c r="AE112" s="150">
        <v>96</v>
      </c>
    </row>
    <row r="113" spans="1:31" ht="15" x14ac:dyDescent="0.25">
      <c r="A113" s="133">
        <v>97</v>
      </c>
      <c r="B113" s="134">
        <f t="shared" si="53"/>
        <v>0</v>
      </c>
      <c r="C113" s="135">
        <f t="shared" si="54"/>
        <v>5</v>
      </c>
      <c r="D113" s="197"/>
      <c r="E113" s="134">
        <f t="shared" si="44"/>
        <v>0</v>
      </c>
      <c r="F113" s="11">
        <f t="shared" si="62"/>
        <v>9</v>
      </c>
      <c r="G113" s="136">
        <f t="shared" si="63"/>
        <v>1018</v>
      </c>
      <c r="H113" s="197"/>
      <c r="I113" s="137">
        <f t="shared" si="55"/>
        <v>10</v>
      </c>
      <c r="J113" s="12">
        <f t="shared" si="56"/>
        <v>0.1</v>
      </c>
      <c r="K113" s="138">
        <f t="shared" si="64"/>
        <v>5.1099999999999968</v>
      </c>
      <c r="L113" s="200"/>
      <c r="M113" s="139">
        <f t="shared" ref="M113:M116" si="68">ROUND(C113*N113-K113*$O$6,2)</f>
        <v>255.5</v>
      </c>
      <c r="N113" s="139">
        <f t="shared" si="46"/>
        <v>51.1</v>
      </c>
      <c r="O113" s="140">
        <f t="shared" si="57"/>
        <v>15297</v>
      </c>
      <c r="P113" s="141">
        <f t="shared" ref="P113:P116" si="69">O113/$O$10</f>
        <v>5.0990000000000002</v>
      </c>
      <c r="Q113" s="127">
        <f t="shared" si="59"/>
        <v>299</v>
      </c>
      <c r="R113" s="142">
        <f t="shared" si="60"/>
        <v>0.28999999999999998</v>
      </c>
      <c r="S113" s="143">
        <f t="shared" si="58"/>
        <v>304</v>
      </c>
      <c r="T113" s="144">
        <f t="shared" si="61"/>
        <v>0.3</v>
      </c>
      <c r="U113" s="203"/>
      <c r="V113" s="145">
        <f t="shared" si="48"/>
        <v>1099.67</v>
      </c>
      <c r="W113" s="146">
        <f t="shared" si="65"/>
        <v>16396.669999999998</v>
      </c>
      <c r="X113" s="147">
        <f t="shared" si="66"/>
        <v>7.0000000000000007E-2</v>
      </c>
      <c r="Y113" s="147">
        <f t="shared" si="49"/>
        <v>0.37</v>
      </c>
      <c r="Z113" s="206"/>
      <c r="AA113" s="148">
        <f t="shared" si="50"/>
        <v>-13396.67</v>
      </c>
      <c r="AB113" s="147">
        <f t="shared" si="51"/>
        <v>5.47</v>
      </c>
      <c r="AC113" s="149">
        <f t="shared" si="52"/>
        <v>0</v>
      </c>
      <c r="AD113" s="149">
        <f t="shared" si="67"/>
        <v>0</v>
      </c>
      <c r="AE113" s="150">
        <v>97</v>
      </c>
    </row>
    <row r="114" spans="1:31" ht="15" x14ac:dyDescent="0.25">
      <c r="A114" s="133">
        <v>98</v>
      </c>
      <c r="B114" s="134">
        <f t="shared" ref="B114:B116" si="70">IF(AND($A114&gt;=C$10,C$10&gt;0),0,IF(AND($A114&gt;=C$7,C$7&gt;0),C$8,0))</f>
        <v>0</v>
      </c>
      <c r="C114" s="135">
        <f t="shared" ref="C114:C116" si="71">IF(AND($A114&gt;=C$10,C$10&gt;0),C$11,C113+B114)</f>
        <v>5</v>
      </c>
      <c r="D114" s="197"/>
      <c r="E114" s="134">
        <f t="shared" si="44"/>
        <v>0</v>
      </c>
      <c r="F114" s="11">
        <f t="shared" si="62"/>
        <v>9</v>
      </c>
      <c r="G114" s="136">
        <f t="shared" si="63"/>
        <v>1027</v>
      </c>
      <c r="H114" s="197"/>
      <c r="I114" s="137">
        <f t="shared" si="55"/>
        <v>10.1</v>
      </c>
      <c r="J114" s="12">
        <f t="shared" ref="J114:J116" si="72">IF($A114&lt;K$5, K$3, IF(K$2=0,IF(K$14&gt;0,IF(K$3*K$14&lt;ROUND(J113*I114, 3),K$3*K$14,ROUND(J113*I114, 3)),ROUND(J113*I114, 3)),IF(K$14&gt;0,IF(K$3*K$14&lt;ROUND(K$3*I114, 3),K$3*K$14,ROUND(K$3*I114, 3)),ROUND(K$3*I114, 3))))</f>
        <v>0.10100000000000001</v>
      </c>
      <c r="K114" s="138">
        <f t="shared" si="64"/>
        <v>5.2099999999999964</v>
      </c>
      <c r="L114" s="200"/>
      <c r="M114" s="139">
        <f t="shared" si="68"/>
        <v>260.5</v>
      </c>
      <c r="N114" s="139">
        <f t="shared" si="46"/>
        <v>52.1</v>
      </c>
      <c r="O114" s="140">
        <f t="shared" si="57"/>
        <v>15756.9</v>
      </c>
      <c r="P114" s="141">
        <f t="shared" si="69"/>
        <v>5.2523</v>
      </c>
      <c r="Q114" s="127">
        <f t="shared" si="59"/>
        <v>302</v>
      </c>
      <c r="R114" s="142">
        <f t="shared" si="60"/>
        <v>0.28999999999999998</v>
      </c>
      <c r="S114" s="143">
        <f t="shared" si="58"/>
        <v>307</v>
      </c>
      <c r="T114" s="144">
        <f t="shared" si="61"/>
        <v>0.3</v>
      </c>
      <c r="U114" s="203"/>
      <c r="V114" s="145">
        <f t="shared" si="48"/>
        <v>1121.19</v>
      </c>
      <c r="W114" s="146">
        <f t="shared" si="65"/>
        <v>16878.09</v>
      </c>
      <c r="X114" s="147">
        <f t="shared" si="66"/>
        <v>7.0000000000000007E-2</v>
      </c>
      <c r="Y114" s="147">
        <f t="shared" si="49"/>
        <v>0.37</v>
      </c>
      <c r="Z114" s="206"/>
      <c r="AA114" s="148">
        <f t="shared" si="50"/>
        <v>-13878.09</v>
      </c>
      <c r="AB114" s="147">
        <f t="shared" si="51"/>
        <v>5.63</v>
      </c>
      <c r="AC114" s="149">
        <f t="shared" si="52"/>
        <v>0</v>
      </c>
      <c r="AD114" s="149">
        <f t="shared" si="67"/>
        <v>0</v>
      </c>
      <c r="AE114" s="150">
        <v>98</v>
      </c>
    </row>
    <row r="115" spans="1:31" ht="15" x14ac:dyDescent="0.25">
      <c r="A115" s="133">
        <v>99</v>
      </c>
      <c r="B115" s="134">
        <f t="shared" si="70"/>
        <v>0</v>
      </c>
      <c r="C115" s="135">
        <f t="shared" si="71"/>
        <v>5</v>
      </c>
      <c r="D115" s="197"/>
      <c r="E115" s="134">
        <f t="shared" si="44"/>
        <v>0</v>
      </c>
      <c r="F115" s="11">
        <f t="shared" si="62"/>
        <v>9</v>
      </c>
      <c r="G115" s="136">
        <f t="shared" si="63"/>
        <v>1036</v>
      </c>
      <c r="H115" s="197"/>
      <c r="I115" s="137">
        <f t="shared" si="55"/>
        <v>10.199999999999999</v>
      </c>
      <c r="J115" s="12">
        <f t="shared" si="72"/>
        <v>0.10199999999999999</v>
      </c>
      <c r="K115" s="138">
        <f t="shared" si="64"/>
        <v>5.3099999999999961</v>
      </c>
      <c r="L115" s="200"/>
      <c r="M115" s="139">
        <f t="shared" si="68"/>
        <v>265.5</v>
      </c>
      <c r="N115" s="139">
        <f t="shared" si="46"/>
        <v>53.1</v>
      </c>
      <c r="O115" s="140">
        <f t="shared" si="57"/>
        <v>16225.8</v>
      </c>
      <c r="P115" s="141">
        <f t="shared" si="69"/>
        <v>5.4085999999999999</v>
      </c>
      <c r="Q115" s="127">
        <f t="shared" si="59"/>
        <v>306</v>
      </c>
      <c r="R115" s="142">
        <f t="shared" si="60"/>
        <v>0.3</v>
      </c>
      <c r="S115" s="143">
        <f t="shared" si="58"/>
        <v>311</v>
      </c>
      <c r="T115" s="144">
        <f t="shared" si="61"/>
        <v>0.3</v>
      </c>
      <c r="U115" s="203"/>
      <c r="V115" s="145">
        <f t="shared" si="48"/>
        <v>1142.71</v>
      </c>
      <c r="W115" s="146">
        <f t="shared" si="65"/>
        <v>17368.509999999998</v>
      </c>
      <c r="X115" s="147">
        <f t="shared" si="66"/>
        <v>7.0000000000000007E-2</v>
      </c>
      <c r="Y115" s="147">
        <f t="shared" si="49"/>
        <v>0.38</v>
      </c>
      <c r="Z115" s="206"/>
      <c r="AA115" s="148">
        <f t="shared" si="50"/>
        <v>-14368.51</v>
      </c>
      <c r="AB115" s="147">
        <f t="shared" si="51"/>
        <v>5.79</v>
      </c>
      <c r="AC115" s="149">
        <f t="shared" si="52"/>
        <v>0</v>
      </c>
      <c r="AD115" s="149">
        <f t="shared" si="67"/>
        <v>0</v>
      </c>
      <c r="AE115" s="150">
        <v>99</v>
      </c>
    </row>
    <row r="116" spans="1:31" ht="15.75" thickBot="1" x14ac:dyDescent="0.3">
      <c r="A116" s="180">
        <v>100</v>
      </c>
      <c r="B116" s="181">
        <f t="shared" si="70"/>
        <v>0</v>
      </c>
      <c r="C116" s="46">
        <f t="shared" si="71"/>
        <v>5</v>
      </c>
      <c r="D116" s="198"/>
      <c r="E116" s="181">
        <f t="shared" si="44"/>
        <v>0</v>
      </c>
      <c r="F116" s="46">
        <f t="shared" si="62"/>
        <v>9</v>
      </c>
      <c r="G116" s="46">
        <f t="shared" si="63"/>
        <v>1045</v>
      </c>
      <c r="H116" s="198"/>
      <c r="I116" s="182">
        <f t="shared" si="55"/>
        <v>10.3</v>
      </c>
      <c r="J116" s="47">
        <f t="shared" si="72"/>
        <v>0.10299999999999999</v>
      </c>
      <c r="K116" s="47">
        <f t="shared" si="64"/>
        <v>5.4099999999999957</v>
      </c>
      <c r="L116" s="201"/>
      <c r="M116" s="183">
        <f t="shared" si="68"/>
        <v>270.5</v>
      </c>
      <c r="N116" s="183">
        <f t="shared" si="46"/>
        <v>54.1</v>
      </c>
      <c r="O116" s="184">
        <f t="shared" si="57"/>
        <v>16703.7</v>
      </c>
      <c r="P116" s="185">
        <f t="shared" si="69"/>
        <v>5.5678999999999998</v>
      </c>
      <c r="Q116" s="186">
        <f t="shared" si="59"/>
        <v>309</v>
      </c>
      <c r="R116" s="187">
        <f t="shared" si="60"/>
        <v>0.3</v>
      </c>
      <c r="S116" s="188">
        <f t="shared" si="58"/>
        <v>314</v>
      </c>
      <c r="T116" s="187">
        <f t="shared" si="61"/>
        <v>0.3</v>
      </c>
      <c r="U116" s="204"/>
      <c r="V116" s="189">
        <f t="shared" si="48"/>
        <v>1164.23</v>
      </c>
      <c r="W116" s="190">
        <f t="shared" si="65"/>
        <v>17867.93</v>
      </c>
      <c r="X116" s="191">
        <f t="shared" si="66"/>
        <v>7.0000000000000007E-2</v>
      </c>
      <c r="Y116" s="191">
        <f t="shared" si="49"/>
        <v>0.39</v>
      </c>
      <c r="Z116" s="207"/>
      <c r="AA116" s="192">
        <f t="shared" si="50"/>
        <v>-14867.93</v>
      </c>
      <c r="AB116" s="191">
        <f t="shared" si="51"/>
        <v>5.96</v>
      </c>
      <c r="AC116" s="193">
        <f t="shared" si="52"/>
        <v>0</v>
      </c>
      <c r="AD116" s="193">
        <f t="shared" si="67"/>
        <v>0</v>
      </c>
      <c r="AE116" s="194">
        <v>100</v>
      </c>
    </row>
    <row r="118" spans="1:31" x14ac:dyDescent="0.2">
      <c r="AA118" s="71"/>
      <c r="AB118" s="71"/>
    </row>
    <row r="119" spans="1:31" ht="13.5" thickBot="1" x14ac:dyDescent="0.25"/>
    <row r="120" spans="1:31" ht="12.75" customHeight="1" x14ac:dyDescent="0.2">
      <c r="B120" s="246">
        <v>1</v>
      </c>
      <c r="F120" s="246">
        <v>2</v>
      </c>
      <c r="J120" s="246">
        <v>3</v>
      </c>
      <c r="P120" s="246">
        <v>4</v>
      </c>
      <c r="W120" s="246">
        <v>5</v>
      </c>
      <c r="AC120" s="246">
        <v>6</v>
      </c>
    </row>
    <row r="121" spans="1:31" ht="12.75" customHeight="1" x14ac:dyDescent="0.2">
      <c r="B121" s="247"/>
      <c r="F121" s="247"/>
      <c r="J121" s="247"/>
      <c r="P121" s="247"/>
      <c r="W121" s="247"/>
      <c r="AC121" s="247"/>
    </row>
    <row r="122" spans="1:31" ht="12.75" customHeight="1" thickBot="1" x14ac:dyDescent="0.25">
      <c r="B122" s="248"/>
      <c r="F122" s="248"/>
      <c r="J122" s="248"/>
      <c r="P122" s="248"/>
      <c r="W122" s="248"/>
      <c r="AC122" s="248"/>
    </row>
  </sheetData>
  <sheetProtection sheet="1" objects="1" scenarios="1"/>
  <protectedRanges>
    <protectedRange sqref="C3:C5" name="Диапазон1_3"/>
    <protectedRange sqref="G3:G5" name="Диапазон1_1_1"/>
  </protectedRanges>
  <mergeCells count="16">
    <mergeCell ref="AG7:AG9"/>
    <mergeCell ref="AC120:AC122"/>
    <mergeCell ref="W120:W122"/>
    <mergeCell ref="P120:P122"/>
    <mergeCell ref="Q15:R15"/>
    <mergeCell ref="O15:P15"/>
    <mergeCell ref="AG23:AG24"/>
    <mergeCell ref="S15:T15"/>
    <mergeCell ref="AC15:AD15"/>
    <mergeCell ref="A1:K1"/>
    <mergeCell ref="M1:O1"/>
    <mergeCell ref="P1:T1"/>
    <mergeCell ref="V1:AE1"/>
    <mergeCell ref="J120:J122"/>
    <mergeCell ref="F120:F122"/>
    <mergeCell ref="B120:B122"/>
  </mergeCells>
  <phoneticPr fontId="2" type="noConversion"/>
  <conditionalFormatting sqref="AA17:AA116">
    <cfRule type="cellIs" dxfId="17" priority="42" operator="lessThan">
      <formula>0</formula>
    </cfRule>
    <cfRule type="cellIs" dxfId="16" priority="43" operator="greaterThan">
      <formula>0</formula>
    </cfRule>
  </conditionalFormatting>
  <conditionalFormatting sqref="AA21 AA26 AA31 AA36 AA41 AA46 AA51 AA56 AA61 AA66 AA71 AA76 AA81 AA86 AA91 AA96 AA101 AA106 AA111 AA116">
    <cfRule type="cellIs" dxfId="15" priority="40" operator="lessThan">
      <formula>0</formula>
    </cfRule>
    <cfRule type="cellIs" dxfId="14" priority="41" operator="greaterThan">
      <formula>0</formula>
    </cfRule>
  </conditionalFormatting>
  <conditionalFormatting sqref="AA2">
    <cfRule type="colorScale" priority="8">
      <colorScale>
        <cfvo type="num" val="1"/>
        <cfvo type="num" val="3"/>
        <cfvo type="num" val="5"/>
        <color rgb="FFF8696B"/>
        <color rgb="FFFFEB84"/>
        <color rgb="FF63BE7B"/>
      </colorScale>
    </cfRule>
  </conditionalFormatting>
  <conditionalFormatting sqref="AA4">
    <cfRule type="colorScale" priority="7">
      <colorScale>
        <cfvo type="num" val="0"/>
        <cfvo type="num" val="0.5"/>
        <cfvo type="num" val="1"/>
        <color rgb="FFF8696B"/>
        <color rgb="FFFFEB84"/>
        <color rgb="FF63BE7B"/>
      </colorScale>
    </cfRule>
  </conditionalFormatting>
  <conditionalFormatting sqref="AA5">
    <cfRule type="colorScale" priority="6">
      <colorScale>
        <cfvo type="num" val="0"/>
        <cfvo type="num" val="0.25"/>
        <cfvo type="num" val="0.5"/>
        <color rgb="FFF8696B"/>
        <color rgb="FFFFEB84"/>
        <color rgb="FF63BE7B"/>
      </colorScale>
    </cfRule>
  </conditionalFormatting>
  <conditionalFormatting sqref="AA6">
    <cfRule type="colorScale" priority="5">
      <colorScale>
        <cfvo type="num" val="0"/>
        <cfvo type="num" val="0.25"/>
        <cfvo type="num" val="0.5"/>
        <color rgb="FFF8696B"/>
        <color rgb="FFFFEB84"/>
        <color rgb="FF63BE7B"/>
      </colorScale>
    </cfRule>
  </conditionalFormatting>
  <conditionalFormatting sqref="AA7">
    <cfRule type="colorScale" priority="4">
      <colorScale>
        <cfvo type="num" val="0"/>
        <cfvo type="num" val="0.25"/>
        <cfvo type="num" val="0.5"/>
        <color rgb="FFF8696B"/>
        <color rgb="FFFFEB84"/>
        <color rgb="FF63BE7B"/>
      </colorScale>
    </cfRule>
  </conditionalFormatting>
  <conditionalFormatting sqref="AA8:AA9">
    <cfRule type="colorScale" priority="3">
      <colorScale>
        <cfvo type="num" val="0.2"/>
        <cfvo type="num" val="0.3"/>
        <cfvo type="num" val="0.4"/>
        <color rgb="FF63BE7B"/>
        <color rgb="FFFFEB84"/>
        <color rgb="FFF8696B"/>
      </colorScale>
    </cfRule>
  </conditionalFormatting>
  <conditionalFormatting sqref="AB13">
    <cfRule type="colorScale" priority="2">
      <colorScale>
        <cfvo type="num" val="0.2"/>
        <cfvo type="num" val="0.3"/>
        <cfvo type="num" val="0.4"/>
        <color rgb="FFF8696B"/>
        <color rgb="FFFFEB84"/>
        <color rgb="FF63BE7B"/>
      </colorScale>
    </cfRule>
  </conditionalFormatting>
  <conditionalFormatting sqref="O10">
    <cfRule type="colorScale" priority="1">
      <colorScale>
        <cfvo type="num" val="0"/>
        <cfvo type="num" val="5000"/>
        <cfvo type="num" val="10000"/>
        <color rgb="FFF8696B"/>
        <color rgb="FFFFEB84"/>
        <color rgb="FF63BE7B"/>
      </colorScale>
    </cfRule>
  </conditionalFormatting>
  <dataValidations disablePrompts="1" count="2">
    <dataValidation type="list" allowBlank="1" showInputMessage="1" showErrorMessage="1" sqref="K2">
      <formula1>"0,1"</formula1>
    </dataValidation>
    <dataValidation type="list" allowBlank="1" showInputMessage="1" showErrorMessage="1" sqref="O3">
      <formula1>"3,4,5"</formula1>
    </dataValidation>
  </dataValidations>
  <pageMargins left="0.2" right="0.12" top="0.4" bottom="0.34" header="0.3" footer="0.23"/>
  <pageSetup paperSize="9" orientation="landscape" horizontalDpi="200" verticalDpi="200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251" r:id="rId4" name="Spinner 227">
              <controlPr defaultSize="0" autoPict="0">
                <anchor moveWithCells="1" sizeWithCells="1">
                  <from>
                    <xdr:col>2</xdr:col>
                    <xdr:colOff>333375</xdr:colOff>
                    <xdr:row>6</xdr:row>
                    <xdr:rowOff>9525</xdr:rowOff>
                  </from>
                  <to>
                    <xdr:col>3</xdr:col>
                    <xdr:colOff>114300</xdr:colOff>
                    <xdr:row>6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2" r:id="rId5" name="Spinner 228">
              <controlPr defaultSize="0" autoPict="0">
                <anchor moveWithCells="1" sizeWithCells="1">
                  <from>
                    <xdr:col>2</xdr:col>
                    <xdr:colOff>333375</xdr:colOff>
                    <xdr:row>9</xdr:row>
                    <xdr:rowOff>9525</xdr:rowOff>
                  </from>
                  <to>
                    <xdr:col>3</xdr:col>
                    <xdr:colOff>114300</xdr:colOff>
                    <xdr:row>9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3" r:id="rId6" name="Spinner 229">
              <controlPr defaultSize="0" autoPict="0">
                <anchor moveWithCells="1" sizeWithCells="1">
                  <from>
                    <xdr:col>2</xdr:col>
                    <xdr:colOff>333375</xdr:colOff>
                    <xdr:row>2</xdr:row>
                    <xdr:rowOff>9525</xdr:rowOff>
                  </from>
                  <to>
                    <xdr:col>3</xdr:col>
                    <xdr:colOff>114300</xdr:colOff>
                    <xdr:row>2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4" r:id="rId7" name="Spinner 230">
              <controlPr defaultSize="0" autoPict="0">
                <anchor moveWithCells="1" sizeWithCells="1">
                  <from>
                    <xdr:col>6</xdr:col>
                    <xdr:colOff>514350</xdr:colOff>
                    <xdr:row>2</xdr:row>
                    <xdr:rowOff>28575</xdr:rowOff>
                  </from>
                  <to>
                    <xdr:col>8</xdr:col>
                    <xdr:colOff>0</xdr:colOff>
                    <xdr:row>2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5" r:id="rId8" name="Spinner 231">
              <controlPr defaultSize="0" autoPict="0">
                <anchor>
                  <from>
                    <xdr:col>6</xdr:col>
                    <xdr:colOff>514350</xdr:colOff>
                    <xdr:row>6</xdr:row>
                    <xdr:rowOff>9525</xdr:rowOff>
                  </from>
                  <to>
                    <xdr:col>8</xdr:col>
                    <xdr:colOff>0</xdr:colOff>
                    <xdr:row>6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6" r:id="rId9" name="Spinner 232">
              <controlPr defaultSize="0" autoPict="0">
                <anchor moveWithCells="1" sizeWithCells="1">
                  <from>
                    <xdr:col>6</xdr:col>
                    <xdr:colOff>514350</xdr:colOff>
                    <xdr:row>9</xdr:row>
                    <xdr:rowOff>9525</xdr:rowOff>
                  </from>
                  <to>
                    <xdr:col>8</xdr:col>
                    <xdr:colOff>0</xdr:colOff>
                    <xdr:row>9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7" r:id="rId10" name="Spinner 233">
              <controlPr defaultSize="0" autoPict="0">
                <anchor moveWithCells="1" sizeWithCells="1">
                  <from>
                    <xdr:col>6</xdr:col>
                    <xdr:colOff>514350</xdr:colOff>
                    <xdr:row>12</xdr:row>
                    <xdr:rowOff>19050</xdr:rowOff>
                  </from>
                  <to>
                    <xdr:col>8</xdr:col>
                    <xdr:colOff>0</xdr:colOff>
                    <xdr:row>12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8" r:id="rId11" name="Spinner 234">
              <controlPr defaultSize="0" autoPict="0">
                <anchor moveWithCells="1" sizeWithCells="1">
                  <from>
                    <xdr:col>10</xdr:col>
                    <xdr:colOff>561975</xdr:colOff>
                    <xdr:row>6</xdr:row>
                    <xdr:rowOff>9525</xdr:rowOff>
                  </from>
                  <to>
                    <xdr:col>11</xdr:col>
                    <xdr:colOff>114300</xdr:colOff>
                    <xdr:row>6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9" r:id="rId12" name="Spinner 235">
              <controlPr defaultSize="0" autoPict="0">
                <anchor moveWithCells="1" sizeWithCells="1">
                  <from>
                    <xdr:col>10</xdr:col>
                    <xdr:colOff>561975</xdr:colOff>
                    <xdr:row>9</xdr:row>
                    <xdr:rowOff>9525</xdr:rowOff>
                  </from>
                  <to>
                    <xdr:col>11</xdr:col>
                    <xdr:colOff>114300</xdr:colOff>
                    <xdr:row>9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1" r:id="rId13" name="Spinner 237">
              <controlPr defaultSize="0" autoPict="0">
                <anchor moveWithCells="1" sizeWithCells="1">
                  <from>
                    <xdr:col>10</xdr:col>
                    <xdr:colOff>561975</xdr:colOff>
                    <xdr:row>12</xdr:row>
                    <xdr:rowOff>19050</xdr:rowOff>
                  </from>
                  <to>
                    <xdr:col>11</xdr:col>
                    <xdr:colOff>114300</xdr:colOff>
                    <xdr:row>12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0" r:id="rId14" name="Spinner 256">
              <controlPr defaultSize="0" autoPict="0">
                <anchor moveWithCells="1" sizeWithCells="1">
                  <from>
                    <xdr:col>12</xdr:col>
                    <xdr:colOff>647700</xdr:colOff>
                    <xdr:row>9</xdr:row>
                    <xdr:rowOff>0</xdr:rowOff>
                  </from>
                  <to>
                    <xdr:col>14</xdr:col>
                    <xdr:colOff>9525</xdr:colOff>
                    <xdr:row>9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0" r:id="rId15" name="Spinner 266">
              <controlPr defaultSize="0" autoPict="0">
                <anchor moveWithCells="1" sizeWithCells="1">
                  <from>
                    <xdr:col>10</xdr:col>
                    <xdr:colOff>561975</xdr:colOff>
                    <xdr:row>3</xdr:row>
                    <xdr:rowOff>200025</xdr:rowOff>
                  </from>
                  <to>
                    <xdr:col>11</xdr:col>
                    <xdr:colOff>114300</xdr:colOff>
                    <xdr:row>4</xdr:row>
                    <xdr:rowOff>180975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lorScale" priority="44" id="{D345360E-4C07-46E7-A127-23B5A631CF29}">
            <x14:colorScale>
              <x14:cfvo type="num">
                <xm:f>0</xm:f>
              </x14:cfvo>
              <x14:cfvo type="formula">
                <xm:f>IF(AND($O$2="AUD/CAD",Волатильность!$B$2="AUD/CAD"),Волатильность!$C$2,IF(AND($O$2="AUD/CHF",Волатильность!$B$3="AUD/CHF"),Волатильность!$C$3,IF(AND($O$2="AUD/JPY",Волатильность!$B$4="AUD/JPY"),Волатильность!$C$4,IF(AND($O$2="AUD/NZD",Волатильность!$B$5="AUD/NZD"),Волатильность!$C$5,IF(AND($O$2="AUD/USD",Волатильность!$B$6="AUD/USD"),Волатильность!$C$6,IF(AND($O$2="CAD/CHF",Волатильность!$B$9="CAD/CHF"),Волатильность!$C$9,IF(AND($O$2="CAD/JPY",Волатильность!$B$10="CAD/JPY"),Волатильность!$C$10,IF(AND($O$2="CHF/JPY",Волатильность!$B$11="CHF/JPY"),Волатильность!$C$11,IF(AND($O$2="EUR/AUD",Волатильность!$B$12="EUR/AUD"),Волатильность!$C$12,IF(AND($O$2="EUR/CAD",Волатильность!$B$13="EUR/CAD"),Волатильность!$C$13,IF(AND($O$2="EUR/CHF",Волатильность!$B$14="EUR/CHF"),Волатильность!$C$14,IF(AND($O$2="EUR/GBP",Волатильность!$B$15="EUR/GBP"),Волатильность!$C$15,IF(AND($O$2="EUR/JPY",Волатильность!$B$16="EUR/JPY"),Волатильность!$C$16,IF(AND($O$2="EUR/NZD",Волатильность!$B$17="EUR/NZD"),Волатильность!$C$17,IF(AND($O$2="EUR/USD",Волатильность!$B$18="EUR/USD"),Волатильность!$C$18,IF(AND($O$2="GBP/AUD",Волатильность!$B$19="GBP/AUD"),Волатильность!$C$19,IF(AND($O$2="GBP/CAD",Волатильность!$B$20="GBP/CAD"),Волатильность!$C$20,IF(AND($O$2="GBP/CHF",Волатильность!$B$21="GBP/CHF"),Волатильность!$C$21,IF(AND($O$2="GBP/JPY",Волатильность!$B$22="GBP/JPY"),Волатильность!$C$22,IF(AND($O$2="GBP/NZD",Волатильность!$F$2="GBP/NZD"),Волатильность!$G$2,IF(AND($O$2="GBP/USD",Волатильность!$F$3="GBP/USD"),Волатильность!$G$3,IF(AND($O$2="NZD/JPY",Волатильность!$F$4="NZD/JPY"),Волатильность!$G$4,IF(AND($O$2="NZD/USD",Волатильность!$F$5="NZD/USD"),Волатильность!$G$5,IF(AND($O$2="USD/CAD",Волатильность!$F$7="USD/CAD"),Волатильность!$G$7,IF(AND($O$2="USD/CHF",Волатильность!$F$8="USD/CHF"),Волатильность!$G$8,IF(AND($O$2="USD/JPY",Волатильность!$F$17="USD/JPY"),Волатильность!$G$17,))))))))))))))))))))))))))</xm:f>
              </x14:cfvo>
              <x14:color rgb="FFFF7128"/>
              <x14:color theme="9"/>
            </x14:colorScale>
          </x14:cfRule>
          <xm:sqref>AD7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disablePrompts="1" count="1">
        <x14:dataValidation type="list" allowBlank="1" showInputMessage="1" showErrorMessage="1">
          <x14:formula1>
            <xm:f>'Залоги и Цена пункта'!$B$10:$B$37</xm:f>
          </x14:formula1>
          <xm:sqref>O2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9"/>
  <dimension ref="A1"/>
  <sheetViews>
    <sheetView zoomScaleNormal="100" workbookViewId="0">
      <selection activeCell="J47" sqref="J47"/>
    </sheetView>
  </sheetViews>
  <sheetFormatPr defaultRowHeight="12.75" x14ac:dyDescent="0.2"/>
  <sheetData/>
  <sheetProtection sheet="1" objects="1" scenarios="1"/>
  <phoneticPr fontId="2" type="noConversion"/>
  <pageMargins left="0.75" right="0.75" top="1" bottom="1" header="0.5" footer="0.5"/>
  <pageSetup paperSize="9" orientation="portrait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Лист10"/>
  <dimension ref="A1:E37"/>
  <sheetViews>
    <sheetView topLeftCell="A19" workbookViewId="0">
      <selection activeCell="E14" sqref="E14"/>
    </sheetView>
  </sheetViews>
  <sheetFormatPr defaultRowHeight="12.75" x14ac:dyDescent="0.2"/>
  <cols>
    <col min="1" max="1" width="10" customWidth="1"/>
    <col min="2" max="2" width="19.140625" customWidth="1"/>
    <col min="3" max="3" width="12.140625" customWidth="1"/>
    <col min="4" max="4" width="19.5703125" customWidth="1"/>
    <col min="5" max="5" width="10.42578125" customWidth="1"/>
  </cols>
  <sheetData>
    <row r="1" spans="1:5" ht="15.75" x14ac:dyDescent="0.25">
      <c r="A1" s="74" t="s">
        <v>126</v>
      </c>
      <c r="B1" s="22"/>
      <c r="C1" s="74"/>
      <c r="D1" s="74"/>
      <c r="E1" s="74"/>
    </row>
    <row r="2" spans="1:5" ht="15.75" x14ac:dyDescent="0.25">
      <c r="B2" s="22"/>
    </row>
    <row r="3" spans="1:5" x14ac:dyDescent="0.2">
      <c r="B3" s="24"/>
    </row>
    <row r="4" spans="1:5" x14ac:dyDescent="0.2">
      <c r="B4" s="24"/>
    </row>
    <row r="5" spans="1:5" x14ac:dyDescent="0.2">
      <c r="B5" s="24"/>
    </row>
    <row r="7" spans="1:5" ht="15.75" x14ac:dyDescent="0.25">
      <c r="B7" s="55">
        <v>42689</v>
      </c>
      <c r="D7" s="23" t="s">
        <v>43</v>
      </c>
      <c r="E7" s="25" t="s">
        <v>44</v>
      </c>
    </row>
    <row r="9" spans="1:5" ht="16.5" thickBot="1" x14ac:dyDescent="0.25">
      <c r="A9" s="60" t="s">
        <v>45</v>
      </c>
      <c r="B9" s="61" t="s">
        <v>41</v>
      </c>
      <c r="C9" s="62" t="s">
        <v>31</v>
      </c>
      <c r="D9" s="63" t="s">
        <v>42</v>
      </c>
      <c r="E9" s="64" t="s">
        <v>95</v>
      </c>
    </row>
    <row r="10" spans="1:5" ht="14.25" x14ac:dyDescent="0.2">
      <c r="A10" s="56">
        <v>1</v>
      </c>
      <c r="B10" s="51" t="s">
        <v>59</v>
      </c>
      <c r="C10" s="52">
        <v>151.13999999999999</v>
      </c>
      <c r="D10" s="52">
        <v>7.39</v>
      </c>
      <c r="E10" s="58">
        <v>8</v>
      </c>
    </row>
    <row r="11" spans="1:5" ht="14.25" x14ac:dyDescent="0.2">
      <c r="A11" s="57">
        <f>A10+1</f>
        <v>2</v>
      </c>
      <c r="B11" s="53" t="s">
        <v>61</v>
      </c>
      <c r="C11" s="49">
        <v>151.13999999999999</v>
      </c>
      <c r="D11" s="49">
        <v>10</v>
      </c>
      <c r="E11" s="59">
        <v>8</v>
      </c>
    </row>
    <row r="12" spans="1:5" ht="14.25" x14ac:dyDescent="0.2">
      <c r="A12" s="57">
        <f t="shared" ref="A12:A37" si="0">A11+1</f>
        <v>3</v>
      </c>
      <c r="B12" s="53" t="s">
        <v>63</v>
      </c>
      <c r="C12" s="49">
        <v>151.13999999999999</v>
      </c>
      <c r="D12" s="49">
        <v>9.24</v>
      </c>
      <c r="E12" s="59">
        <v>6</v>
      </c>
    </row>
    <row r="13" spans="1:5" ht="14.25" x14ac:dyDescent="0.2">
      <c r="A13" s="57">
        <f t="shared" si="0"/>
        <v>4</v>
      </c>
      <c r="B13" s="53" t="s">
        <v>65</v>
      </c>
      <c r="C13" s="49">
        <v>151.13999999999999</v>
      </c>
      <c r="D13" s="49">
        <v>7.11</v>
      </c>
      <c r="E13" s="59">
        <v>10</v>
      </c>
    </row>
    <row r="14" spans="1:5" ht="14.25" x14ac:dyDescent="0.2">
      <c r="A14" s="57">
        <f>A13+1</f>
        <v>5</v>
      </c>
      <c r="B14" s="53" t="s">
        <v>67</v>
      </c>
      <c r="C14" s="49">
        <v>151.18</v>
      </c>
      <c r="D14" s="49">
        <v>10</v>
      </c>
      <c r="E14" s="59">
        <v>4</v>
      </c>
    </row>
    <row r="15" spans="1:5" ht="14.25" x14ac:dyDescent="0.2">
      <c r="A15" s="57">
        <f t="shared" si="0"/>
        <v>6</v>
      </c>
      <c r="B15" s="53" t="s">
        <v>72</v>
      </c>
      <c r="C15" s="50">
        <v>147.87</v>
      </c>
      <c r="D15" s="50">
        <v>10</v>
      </c>
      <c r="E15" s="59">
        <v>8</v>
      </c>
    </row>
    <row r="16" spans="1:5" ht="14.25" x14ac:dyDescent="0.2">
      <c r="A16" s="57">
        <f t="shared" si="0"/>
        <v>7</v>
      </c>
      <c r="B16" s="53" t="s">
        <v>74</v>
      </c>
      <c r="C16" s="50">
        <v>147.87</v>
      </c>
      <c r="D16" s="50">
        <v>9.24</v>
      </c>
      <c r="E16" s="59">
        <v>6</v>
      </c>
    </row>
    <row r="17" spans="1:5" ht="14.25" x14ac:dyDescent="0.2">
      <c r="A17" s="57">
        <f t="shared" si="0"/>
        <v>8</v>
      </c>
      <c r="B17" s="53" t="s">
        <v>76</v>
      </c>
      <c r="C17" s="50">
        <v>200.16</v>
      </c>
      <c r="D17" s="50">
        <v>9.24</v>
      </c>
      <c r="E17" s="59">
        <v>8</v>
      </c>
    </row>
    <row r="18" spans="1:5" ht="14.25" x14ac:dyDescent="0.2">
      <c r="A18" s="57">
        <f t="shared" si="0"/>
        <v>9</v>
      </c>
      <c r="B18" s="53" t="s">
        <v>78</v>
      </c>
      <c r="C18" s="50">
        <v>215.18</v>
      </c>
      <c r="D18" s="50">
        <v>7.56</v>
      </c>
      <c r="E18" s="59">
        <v>10</v>
      </c>
    </row>
    <row r="19" spans="1:5" ht="14.25" x14ac:dyDescent="0.2">
      <c r="A19" s="57">
        <f t="shared" si="0"/>
        <v>10</v>
      </c>
      <c r="B19" s="53" t="s">
        <v>80</v>
      </c>
      <c r="C19" s="50">
        <v>215.18</v>
      </c>
      <c r="D19" s="50">
        <v>7.39</v>
      </c>
      <c r="E19" s="59">
        <v>8</v>
      </c>
    </row>
    <row r="20" spans="1:5" ht="14.25" x14ac:dyDescent="0.2">
      <c r="A20" s="57">
        <f t="shared" si="0"/>
        <v>11</v>
      </c>
      <c r="B20" s="53" t="s">
        <v>82</v>
      </c>
      <c r="C20" s="50">
        <v>215.18</v>
      </c>
      <c r="D20" s="50">
        <v>10</v>
      </c>
      <c r="E20" s="59">
        <v>6</v>
      </c>
    </row>
    <row r="21" spans="1:5" ht="14.25" x14ac:dyDescent="0.2">
      <c r="A21" s="57">
        <f t="shared" si="0"/>
        <v>12</v>
      </c>
      <c r="B21" s="53" t="s">
        <v>85</v>
      </c>
      <c r="C21" s="50">
        <v>215.18</v>
      </c>
      <c r="D21" s="50">
        <v>9.24</v>
      </c>
      <c r="E21" s="59">
        <v>4</v>
      </c>
    </row>
    <row r="22" spans="1:5" ht="14.25" x14ac:dyDescent="0.2">
      <c r="A22" s="57">
        <f t="shared" si="0"/>
        <v>13</v>
      </c>
      <c r="B22" s="53" t="s">
        <v>83</v>
      </c>
      <c r="C22" s="50">
        <v>215.18</v>
      </c>
      <c r="D22" s="50">
        <v>12.43</v>
      </c>
      <c r="E22" s="59">
        <v>3</v>
      </c>
    </row>
    <row r="23" spans="1:5" ht="14.25" x14ac:dyDescent="0.2">
      <c r="A23" s="57">
        <f t="shared" si="0"/>
        <v>14</v>
      </c>
      <c r="B23" s="53" t="s">
        <v>87</v>
      </c>
      <c r="C23" s="50">
        <v>215.18</v>
      </c>
      <c r="D23" s="50">
        <v>7.11</v>
      </c>
      <c r="E23" s="59">
        <v>12</v>
      </c>
    </row>
    <row r="24" spans="1:5" ht="14.25" x14ac:dyDescent="0.2">
      <c r="A24" s="57">
        <f t="shared" si="0"/>
        <v>15</v>
      </c>
      <c r="B24" s="53" t="s">
        <v>89</v>
      </c>
      <c r="C24" s="50">
        <v>215.2</v>
      </c>
      <c r="D24" s="50">
        <v>10</v>
      </c>
      <c r="E24" s="59">
        <v>2</v>
      </c>
    </row>
    <row r="25" spans="1:5" ht="14.25" x14ac:dyDescent="0.2">
      <c r="A25" s="57">
        <f t="shared" si="0"/>
        <v>16</v>
      </c>
      <c r="B25" s="53" t="s">
        <v>91</v>
      </c>
      <c r="C25" s="50">
        <v>248.53</v>
      </c>
      <c r="D25" s="50">
        <v>7.56</v>
      </c>
      <c r="E25" s="59">
        <v>10</v>
      </c>
    </row>
    <row r="26" spans="1:5" ht="14.25" x14ac:dyDescent="0.2">
      <c r="A26" s="57">
        <f t="shared" si="0"/>
        <v>17</v>
      </c>
      <c r="B26" s="53" t="s">
        <v>93</v>
      </c>
      <c r="C26" s="50">
        <v>248.53</v>
      </c>
      <c r="D26" s="50">
        <v>7.39</v>
      </c>
      <c r="E26" s="59">
        <v>10</v>
      </c>
    </row>
    <row r="27" spans="1:5" ht="14.25" x14ac:dyDescent="0.2">
      <c r="A27" s="57">
        <f t="shared" si="0"/>
        <v>18</v>
      </c>
      <c r="B27" s="53" t="s">
        <v>94</v>
      </c>
      <c r="C27" s="50">
        <v>248.53</v>
      </c>
      <c r="D27" s="50">
        <v>10</v>
      </c>
      <c r="E27" s="59">
        <v>10</v>
      </c>
    </row>
    <row r="28" spans="1:5" ht="14.25" x14ac:dyDescent="0.2">
      <c r="A28" s="57">
        <f t="shared" si="0"/>
        <v>19</v>
      </c>
      <c r="B28" s="53" t="s">
        <v>57</v>
      </c>
      <c r="C28" s="50">
        <v>248.53</v>
      </c>
      <c r="D28" s="50">
        <v>9.24</v>
      </c>
      <c r="E28" s="59">
        <v>8</v>
      </c>
    </row>
    <row r="29" spans="1:5" ht="14.25" x14ac:dyDescent="0.2">
      <c r="A29" s="57">
        <f t="shared" si="0"/>
        <v>20</v>
      </c>
      <c r="B29" s="53" t="s">
        <v>58</v>
      </c>
      <c r="C29" s="50">
        <v>248.53</v>
      </c>
      <c r="D29" s="50">
        <v>7.11</v>
      </c>
      <c r="E29" s="59">
        <v>18</v>
      </c>
    </row>
    <row r="30" spans="1:5" ht="14.25" x14ac:dyDescent="0.2">
      <c r="A30" s="57">
        <f t="shared" si="0"/>
        <v>21</v>
      </c>
      <c r="B30" s="53" t="s">
        <v>60</v>
      </c>
      <c r="C30" s="50">
        <v>248.56</v>
      </c>
      <c r="D30" s="50">
        <v>10</v>
      </c>
      <c r="E30" s="59">
        <v>3</v>
      </c>
    </row>
    <row r="31" spans="1:5" ht="14.25" x14ac:dyDescent="0.2">
      <c r="A31" s="57">
        <f t="shared" si="0"/>
        <v>22</v>
      </c>
      <c r="B31" s="54" t="s">
        <v>96</v>
      </c>
      <c r="C31" s="26">
        <v>142.15</v>
      </c>
      <c r="D31" s="26">
        <v>7.39</v>
      </c>
      <c r="E31" s="59">
        <v>10</v>
      </c>
    </row>
    <row r="32" spans="1:5" ht="14.25" x14ac:dyDescent="0.2">
      <c r="A32" s="57">
        <f t="shared" si="0"/>
        <v>23</v>
      </c>
      <c r="B32" s="54" t="s">
        <v>97</v>
      </c>
      <c r="C32" s="26">
        <v>142.15</v>
      </c>
      <c r="D32" s="26">
        <v>10</v>
      </c>
      <c r="E32" s="59">
        <v>12</v>
      </c>
    </row>
    <row r="33" spans="1:5" ht="14.25" x14ac:dyDescent="0.2">
      <c r="A33" s="57">
        <f t="shared" si="0"/>
        <v>24</v>
      </c>
      <c r="B33" s="54" t="s">
        <v>62</v>
      </c>
      <c r="C33" s="26">
        <v>142.15</v>
      </c>
      <c r="D33" s="26">
        <v>9.24</v>
      </c>
      <c r="E33" s="59">
        <v>8</v>
      </c>
    </row>
    <row r="34" spans="1:5" ht="14.25" x14ac:dyDescent="0.2">
      <c r="A34" s="57">
        <f t="shared" si="0"/>
        <v>25</v>
      </c>
      <c r="B34" s="54" t="s">
        <v>64</v>
      </c>
      <c r="C34" s="26">
        <v>142.19999999999999</v>
      </c>
      <c r="D34" s="26">
        <v>10</v>
      </c>
      <c r="E34" s="59">
        <v>5</v>
      </c>
    </row>
    <row r="35" spans="1:5" ht="14.25" x14ac:dyDescent="0.2">
      <c r="A35" s="57">
        <f t="shared" si="0"/>
        <v>26</v>
      </c>
      <c r="B35" s="54" t="s">
        <v>68</v>
      </c>
      <c r="C35" s="26">
        <v>200</v>
      </c>
      <c r="D35" s="26">
        <v>7.39</v>
      </c>
      <c r="E35" s="59">
        <v>4</v>
      </c>
    </row>
    <row r="36" spans="1:5" ht="14.25" x14ac:dyDescent="0.2">
      <c r="A36" s="57">
        <f t="shared" si="0"/>
        <v>27</v>
      </c>
      <c r="B36" s="54" t="s">
        <v>70</v>
      </c>
      <c r="C36" s="26">
        <v>200</v>
      </c>
      <c r="D36" s="26">
        <v>10</v>
      </c>
      <c r="E36" s="59">
        <v>4</v>
      </c>
    </row>
    <row r="37" spans="1:5" ht="14.25" x14ac:dyDescent="0.2">
      <c r="A37" s="65">
        <f t="shared" si="0"/>
        <v>28</v>
      </c>
      <c r="B37" s="66" t="s">
        <v>81</v>
      </c>
      <c r="C37" s="67">
        <v>200</v>
      </c>
      <c r="D37" s="67">
        <v>9.24</v>
      </c>
      <c r="E37" s="68">
        <v>3</v>
      </c>
    </row>
  </sheetData>
  <phoneticPr fontId="2" type="noConversion"/>
  <pageMargins left="0.59" right="0.45" top="0.3" bottom="0.27" header="0.23" footer="0.19"/>
  <pageSetup paperSize="9" orientation="portrait" horizontalDpi="200" verticalDpi="200" r:id="rId1"/>
  <headerFooter alignWithMargins="0"/>
  <ignoredErrors>
    <ignoredError sqref="A10" calculatedColumn="1"/>
  </ignoredErrors>
  <legacyDrawing r:id="rId2"/>
  <tableParts count="1">
    <tablePart r:id="rId3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1"/>
  <dimension ref="A1:Q22"/>
  <sheetViews>
    <sheetView workbookViewId="0">
      <selection activeCell="B44" sqref="B44"/>
    </sheetView>
  </sheetViews>
  <sheetFormatPr defaultRowHeight="12.75" x14ac:dyDescent="0.2"/>
  <cols>
    <col min="1" max="1" width="11.28515625" bestFit="1" customWidth="1"/>
    <col min="2" max="2" width="10.42578125" bestFit="1" customWidth="1"/>
    <col min="3" max="3" width="9.42578125" bestFit="1" customWidth="1"/>
    <col min="4" max="4" width="4.7109375" bestFit="1" customWidth="1"/>
    <col min="5" max="5" width="11.28515625" bestFit="1" customWidth="1"/>
    <col min="6" max="6" width="10.42578125" bestFit="1" customWidth="1"/>
    <col min="7" max="7" width="9.42578125" bestFit="1" customWidth="1"/>
    <col min="8" max="8" width="4.7109375" bestFit="1" customWidth="1"/>
  </cols>
  <sheetData>
    <row r="1" spans="1:17" x14ac:dyDescent="0.2">
      <c r="A1" t="s">
        <v>52</v>
      </c>
      <c r="B1" s="48" t="s">
        <v>53</v>
      </c>
      <c r="C1" s="48" t="s">
        <v>54</v>
      </c>
      <c r="D1" s="48" t="s">
        <v>55</v>
      </c>
      <c r="E1" t="s">
        <v>52</v>
      </c>
      <c r="F1" s="48" t="s">
        <v>53</v>
      </c>
      <c r="G1" s="48" t="s">
        <v>54</v>
      </c>
      <c r="H1" s="48" t="s">
        <v>55</v>
      </c>
      <c r="J1" s="74" t="s">
        <v>127</v>
      </c>
      <c r="K1" s="74"/>
      <c r="L1" s="74"/>
      <c r="M1" s="74"/>
      <c r="N1" s="74"/>
      <c r="O1" s="74"/>
      <c r="Q1" s="72" t="str">
        <f>HYPERLINK("http://ru.investing.com/tools/forex-volatility-calculator","investing.com")</f>
        <v>investing.com</v>
      </c>
    </row>
    <row r="2" spans="1:17" x14ac:dyDescent="0.2">
      <c r="A2" s="48" t="s">
        <v>56</v>
      </c>
      <c r="B2" s="48" t="s">
        <v>59</v>
      </c>
      <c r="C2" s="69" t="s">
        <v>161</v>
      </c>
      <c r="D2" s="69" t="s">
        <v>162</v>
      </c>
      <c r="E2" t="s">
        <v>56</v>
      </c>
      <c r="F2" t="s">
        <v>58</v>
      </c>
      <c r="G2" s="70" t="s">
        <v>191</v>
      </c>
      <c r="H2" s="70" t="s">
        <v>131</v>
      </c>
      <c r="J2" s="74"/>
      <c r="K2" s="74"/>
      <c r="L2" s="74"/>
      <c r="M2" s="74"/>
      <c r="N2" s="74"/>
      <c r="O2" s="74"/>
    </row>
    <row r="3" spans="1:17" x14ac:dyDescent="0.2">
      <c r="A3" s="48" t="s">
        <v>56</v>
      </c>
      <c r="B3" s="48" t="s">
        <v>61</v>
      </c>
      <c r="C3" s="69" t="s">
        <v>153</v>
      </c>
      <c r="D3" s="69" t="s">
        <v>163</v>
      </c>
      <c r="E3" t="s">
        <v>56</v>
      </c>
      <c r="F3" t="s">
        <v>60</v>
      </c>
      <c r="G3" s="70" t="s">
        <v>192</v>
      </c>
      <c r="H3" s="70" t="s">
        <v>144</v>
      </c>
    </row>
    <row r="4" spans="1:17" x14ac:dyDescent="0.2">
      <c r="A4" s="48" t="s">
        <v>56</v>
      </c>
      <c r="B4" s="48" t="s">
        <v>63</v>
      </c>
      <c r="C4" s="69" t="s">
        <v>164</v>
      </c>
      <c r="D4" s="69" t="s">
        <v>165</v>
      </c>
      <c r="E4" t="s">
        <v>56</v>
      </c>
      <c r="F4" t="s">
        <v>62</v>
      </c>
      <c r="G4" s="70" t="s">
        <v>193</v>
      </c>
      <c r="H4" s="70" t="s">
        <v>194</v>
      </c>
    </row>
    <row r="5" spans="1:17" x14ac:dyDescent="0.2">
      <c r="A5" s="48" t="s">
        <v>56</v>
      </c>
      <c r="B5" s="48" t="s">
        <v>65</v>
      </c>
      <c r="C5" s="69" t="s">
        <v>166</v>
      </c>
      <c r="D5" s="69" t="s">
        <v>129</v>
      </c>
      <c r="E5" t="s">
        <v>56</v>
      </c>
      <c r="F5" t="s">
        <v>64</v>
      </c>
      <c r="G5" s="70" t="s">
        <v>195</v>
      </c>
      <c r="H5" s="70" t="s">
        <v>196</v>
      </c>
    </row>
    <row r="6" spans="1:17" x14ac:dyDescent="0.2">
      <c r="A6" s="48" t="s">
        <v>56</v>
      </c>
      <c r="B6" s="48" t="s">
        <v>67</v>
      </c>
      <c r="C6" s="69" t="s">
        <v>167</v>
      </c>
      <c r="D6" s="69" t="s">
        <v>168</v>
      </c>
      <c r="E6" t="s">
        <v>56</v>
      </c>
      <c r="F6" t="s">
        <v>66</v>
      </c>
      <c r="G6" s="70" t="s">
        <v>197</v>
      </c>
      <c r="H6" s="70" t="s">
        <v>198</v>
      </c>
    </row>
    <row r="7" spans="1:17" x14ac:dyDescent="0.2">
      <c r="A7" s="48" t="s">
        <v>56</v>
      </c>
      <c r="B7" s="48" t="s">
        <v>69</v>
      </c>
      <c r="C7" s="69" t="s">
        <v>169</v>
      </c>
      <c r="D7" s="69" t="s">
        <v>170</v>
      </c>
      <c r="E7" t="s">
        <v>56</v>
      </c>
      <c r="F7" t="s">
        <v>68</v>
      </c>
      <c r="G7" s="70" t="s">
        <v>173</v>
      </c>
      <c r="H7" s="70" t="s">
        <v>138</v>
      </c>
    </row>
    <row r="8" spans="1:17" x14ac:dyDescent="0.2">
      <c r="A8" s="48" t="s">
        <v>56</v>
      </c>
      <c r="B8" s="48" t="s">
        <v>71</v>
      </c>
      <c r="C8" s="69" t="s">
        <v>171</v>
      </c>
      <c r="D8" s="69" t="s">
        <v>154</v>
      </c>
      <c r="E8" t="s">
        <v>56</v>
      </c>
      <c r="F8" t="s">
        <v>70</v>
      </c>
      <c r="G8" s="70" t="s">
        <v>199</v>
      </c>
      <c r="H8" s="70" t="s">
        <v>139</v>
      </c>
    </row>
    <row r="9" spans="1:17" x14ac:dyDescent="0.2">
      <c r="A9" s="48" t="s">
        <v>56</v>
      </c>
      <c r="B9" s="48" t="s">
        <v>72</v>
      </c>
      <c r="C9" s="69" t="s">
        <v>172</v>
      </c>
      <c r="D9" s="69" t="s">
        <v>135</v>
      </c>
      <c r="E9" t="s">
        <v>56</v>
      </c>
      <c r="F9" t="s">
        <v>98</v>
      </c>
      <c r="G9" s="70" t="s">
        <v>200</v>
      </c>
      <c r="H9" s="70" t="s">
        <v>140</v>
      </c>
    </row>
    <row r="10" spans="1:17" x14ac:dyDescent="0.2">
      <c r="A10" s="48" t="s">
        <v>56</v>
      </c>
      <c r="B10" s="48" t="s">
        <v>74</v>
      </c>
      <c r="C10" s="69" t="s">
        <v>173</v>
      </c>
      <c r="D10" s="69" t="s">
        <v>155</v>
      </c>
      <c r="E10" t="s">
        <v>56</v>
      </c>
      <c r="F10" t="s">
        <v>73</v>
      </c>
      <c r="G10" s="70" t="s">
        <v>201</v>
      </c>
      <c r="H10" s="70" t="s">
        <v>132</v>
      </c>
    </row>
    <row r="11" spans="1:17" x14ac:dyDescent="0.2">
      <c r="A11" s="48" t="s">
        <v>56</v>
      </c>
      <c r="B11" s="48" t="s">
        <v>76</v>
      </c>
      <c r="C11" s="69" t="s">
        <v>174</v>
      </c>
      <c r="D11" s="69" t="s">
        <v>175</v>
      </c>
      <c r="E11" t="s">
        <v>56</v>
      </c>
      <c r="F11" t="s">
        <v>75</v>
      </c>
      <c r="G11" s="70" t="s">
        <v>202</v>
      </c>
      <c r="H11" s="70" t="s">
        <v>102</v>
      </c>
    </row>
    <row r="12" spans="1:17" x14ac:dyDescent="0.2">
      <c r="A12" s="48" t="s">
        <v>56</v>
      </c>
      <c r="B12" s="48" t="s">
        <v>78</v>
      </c>
      <c r="C12" s="69" t="s">
        <v>176</v>
      </c>
      <c r="D12" s="69" t="s">
        <v>148</v>
      </c>
      <c r="E12" t="s">
        <v>56</v>
      </c>
      <c r="F12" t="s">
        <v>77</v>
      </c>
      <c r="G12" s="70" t="s">
        <v>203</v>
      </c>
      <c r="H12" s="70" t="s">
        <v>146</v>
      </c>
    </row>
    <row r="13" spans="1:17" x14ac:dyDescent="0.2">
      <c r="A13" s="48" t="s">
        <v>56</v>
      </c>
      <c r="B13" s="48" t="s">
        <v>80</v>
      </c>
      <c r="C13" s="69" t="s">
        <v>177</v>
      </c>
      <c r="D13" s="69" t="s">
        <v>178</v>
      </c>
      <c r="E13" t="s">
        <v>56</v>
      </c>
      <c r="F13" t="s">
        <v>79</v>
      </c>
      <c r="G13" s="70" t="s">
        <v>204</v>
      </c>
      <c r="H13" s="70" t="s">
        <v>147</v>
      </c>
    </row>
    <row r="14" spans="1:17" x14ac:dyDescent="0.2">
      <c r="A14" s="48" t="s">
        <v>56</v>
      </c>
      <c r="B14" s="48" t="s">
        <v>82</v>
      </c>
      <c r="C14" s="69" t="s">
        <v>179</v>
      </c>
      <c r="D14" s="69" t="s">
        <v>180</v>
      </c>
      <c r="E14" t="s">
        <v>56</v>
      </c>
      <c r="F14" t="s">
        <v>81</v>
      </c>
      <c r="G14" t="s">
        <v>205</v>
      </c>
      <c r="H14" s="70" t="s">
        <v>144</v>
      </c>
    </row>
    <row r="15" spans="1:17" x14ac:dyDescent="0.2">
      <c r="A15" s="48" t="s">
        <v>56</v>
      </c>
      <c r="B15" s="48" t="s">
        <v>83</v>
      </c>
      <c r="C15" s="69" t="s">
        <v>181</v>
      </c>
      <c r="D15" s="69" t="s">
        <v>136</v>
      </c>
      <c r="E15" t="s">
        <v>56</v>
      </c>
      <c r="F15" t="s">
        <v>99</v>
      </c>
      <c r="G15" s="70" t="s">
        <v>206</v>
      </c>
      <c r="H15" s="70" t="s">
        <v>149</v>
      </c>
    </row>
    <row r="16" spans="1:17" x14ac:dyDescent="0.2">
      <c r="A16" s="48" t="s">
        <v>56</v>
      </c>
      <c r="B16" s="48" t="s">
        <v>85</v>
      </c>
      <c r="C16" s="69" t="s">
        <v>182</v>
      </c>
      <c r="D16" s="69" t="s">
        <v>137</v>
      </c>
      <c r="E16" t="s">
        <v>56</v>
      </c>
      <c r="F16" t="s">
        <v>100</v>
      </c>
      <c r="G16" s="70" t="s">
        <v>150</v>
      </c>
      <c r="H16" s="70" t="s">
        <v>134</v>
      </c>
    </row>
    <row r="17" spans="1:8" x14ac:dyDescent="0.2">
      <c r="A17" s="48" t="s">
        <v>56</v>
      </c>
      <c r="B17" s="48" t="s">
        <v>87</v>
      </c>
      <c r="C17" s="69" t="s">
        <v>183</v>
      </c>
      <c r="D17" s="69" t="s">
        <v>130</v>
      </c>
      <c r="E17" t="s">
        <v>56</v>
      </c>
      <c r="F17" t="s">
        <v>84</v>
      </c>
      <c r="G17" s="70" t="s">
        <v>207</v>
      </c>
      <c r="H17" s="70" t="s">
        <v>141</v>
      </c>
    </row>
    <row r="18" spans="1:8" x14ac:dyDescent="0.2">
      <c r="A18" s="48" t="s">
        <v>56</v>
      </c>
      <c r="B18" s="48" t="s">
        <v>89</v>
      </c>
      <c r="C18" s="69" t="s">
        <v>184</v>
      </c>
      <c r="D18" s="69" t="s">
        <v>132</v>
      </c>
      <c r="E18" t="s">
        <v>56</v>
      </c>
      <c r="F18" t="s">
        <v>86</v>
      </c>
      <c r="G18" s="70" t="s">
        <v>208</v>
      </c>
      <c r="H18" s="70" t="s">
        <v>133</v>
      </c>
    </row>
    <row r="19" spans="1:8" x14ac:dyDescent="0.2">
      <c r="A19" s="48" t="s">
        <v>56</v>
      </c>
      <c r="B19" s="48" t="s">
        <v>91</v>
      </c>
      <c r="C19" s="69" t="s">
        <v>185</v>
      </c>
      <c r="D19" s="69" t="s">
        <v>186</v>
      </c>
      <c r="E19" t="s">
        <v>56</v>
      </c>
      <c r="F19" t="s">
        <v>88</v>
      </c>
      <c r="G19" s="70" t="s">
        <v>209</v>
      </c>
      <c r="H19" s="70" t="s">
        <v>142</v>
      </c>
    </row>
    <row r="20" spans="1:8" x14ac:dyDescent="0.2">
      <c r="A20" s="48" t="s">
        <v>56</v>
      </c>
      <c r="B20" s="48" t="s">
        <v>93</v>
      </c>
      <c r="C20" s="69" t="s">
        <v>187</v>
      </c>
      <c r="D20" s="69" t="s">
        <v>188</v>
      </c>
      <c r="E20" t="s">
        <v>56</v>
      </c>
      <c r="F20" t="s">
        <v>101</v>
      </c>
      <c r="G20" s="70" t="s">
        <v>210</v>
      </c>
      <c r="H20" s="70" t="s">
        <v>143</v>
      </c>
    </row>
    <row r="21" spans="1:8" x14ac:dyDescent="0.2">
      <c r="A21" s="48" t="s">
        <v>56</v>
      </c>
      <c r="B21" s="48" t="s">
        <v>94</v>
      </c>
      <c r="C21" s="69" t="s">
        <v>189</v>
      </c>
      <c r="D21" s="69" t="s">
        <v>156</v>
      </c>
      <c r="E21" t="s">
        <v>56</v>
      </c>
      <c r="F21" t="s">
        <v>90</v>
      </c>
      <c r="G21" s="70" t="s">
        <v>151</v>
      </c>
      <c r="H21" s="70" t="s">
        <v>211</v>
      </c>
    </row>
    <row r="22" spans="1:8" x14ac:dyDescent="0.2">
      <c r="A22" s="48" t="s">
        <v>56</v>
      </c>
      <c r="B22" s="48" t="s">
        <v>57</v>
      </c>
      <c r="C22" s="69" t="s">
        <v>190</v>
      </c>
      <c r="D22" s="69" t="s">
        <v>157</v>
      </c>
      <c r="E22" t="s">
        <v>56</v>
      </c>
      <c r="F22" t="s">
        <v>92</v>
      </c>
      <c r="G22" s="70" t="s">
        <v>152</v>
      </c>
      <c r="H22" s="70" t="s">
        <v>145</v>
      </c>
    </row>
  </sheetData>
  <phoneticPr fontId="2" type="noConversion"/>
  <pageMargins left="0.75" right="0.75" top="1" bottom="1" header="0.5" footer="0.5"/>
  <headerFooter alignWithMargins="0"/>
  <tableParts count="2">
    <tablePart r:id="rId1"/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2694BF1C-74FB-4667-AFDB-F27BC0246D41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Сводная таблица</vt:lpstr>
      <vt:lpstr>Графики</vt:lpstr>
      <vt:lpstr>Залоги и Цена пункта</vt:lpstr>
      <vt:lpstr>Волатильность</vt:lpstr>
    </vt:vector>
  </TitlesOfParts>
  <Company>RePack by SPecialiST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eu</dc:creator>
  <cp:lastModifiedBy>Ильнур</cp:lastModifiedBy>
  <cp:lastPrinted>2016-09-13T02:40:01Z</cp:lastPrinted>
  <dcterms:created xsi:type="dcterms:W3CDTF">2016-02-20T10:06:05Z</dcterms:created>
  <dcterms:modified xsi:type="dcterms:W3CDTF">2016-11-27T19:00:06Z</dcterms:modified>
  <cp:contentStatus/>
</cp:coreProperties>
</file>