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N13" i="1" l="1"/>
  <c r="D13" i="1"/>
  <c r="J3" i="1"/>
  <c r="I3" i="1"/>
  <c r="K3" i="1" s="1"/>
  <c r="M13" i="1"/>
  <c r="O13" i="1"/>
  <c r="K10" i="1"/>
  <c r="H10" i="1"/>
  <c r="J10" i="1" s="1"/>
  <c r="H8" i="1"/>
  <c r="I8" i="1" s="1"/>
  <c r="K8" i="1" s="1"/>
  <c r="L3" i="1" l="1"/>
  <c r="L10" i="1"/>
  <c r="P10" i="1"/>
  <c r="L8" i="1"/>
  <c r="P8" i="1"/>
  <c r="J8" i="1"/>
  <c r="J11" i="1"/>
  <c r="I11" i="1"/>
  <c r="K11" i="1" s="1"/>
  <c r="P11" i="1" s="1"/>
  <c r="L11" i="1" l="1"/>
  <c r="H13" i="1"/>
  <c r="G13" i="1"/>
  <c r="J7" i="1" l="1"/>
  <c r="I7" i="1"/>
  <c r="K7" i="1" s="1"/>
  <c r="P7" i="1" s="1"/>
  <c r="I5" i="1"/>
  <c r="K5" i="1" s="1"/>
  <c r="P5" i="1" s="1"/>
  <c r="J5" i="1"/>
  <c r="L7" i="1" l="1"/>
  <c r="L5" i="1"/>
  <c r="I6" i="1"/>
  <c r="K6" i="1" s="1"/>
  <c r="P6" i="1" s="1"/>
  <c r="J6" i="1"/>
  <c r="I4" i="1"/>
  <c r="K4" i="1" s="1"/>
  <c r="P4" i="1" s="1"/>
  <c r="J4" i="1"/>
  <c r="I12" i="1"/>
  <c r="K12" i="1" s="1"/>
  <c r="P12" i="1" s="1"/>
  <c r="J12" i="1"/>
  <c r="J9" i="1"/>
  <c r="I9" i="1"/>
  <c r="P13" i="1" l="1"/>
  <c r="L4" i="1"/>
  <c r="L12" i="1"/>
  <c r="L6" i="1"/>
  <c r="J13" i="1"/>
  <c r="K9" i="1"/>
  <c r="P9" i="1" s="1"/>
  <c r="I13" i="1"/>
  <c r="L9" i="1" l="1"/>
  <c r="K13" i="1"/>
  <c r="L13" i="1" l="1"/>
</calcChain>
</file>

<file path=xl/comments1.xml><?xml version="1.0" encoding="utf-8"?>
<comments xmlns="http://schemas.openxmlformats.org/spreadsheetml/2006/main">
  <authors>
    <author>Автор</author>
  </authors>
  <commentList>
    <comment ref="P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 yyalex</t>
        </r>
        <r>
          <rPr>
            <sz val="9"/>
            <color indexed="81"/>
            <rFont val="Tahoma"/>
            <family val="2"/>
            <charset val="204"/>
          </rPr>
          <t xml:space="preserve">
Отношение среднегодовой прибыли, $ к макс просадке, $ 
2-хорошо, 5-отлично
</t>
        </r>
      </text>
    </comment>
  </commentList>
</comments>
</file>

<file path=xl/sharedStrings.xml><?xml version="1.0" encoding="utf-8"?>
<sst xmlns="http://schemas.openxmlformats.org/spreadsheetml/2006/main" count="92" uniqueCount="67">
  <si>
    <t>Пара</t>
  </si>
  <si>
    <t>Ссылка</t>
  </si>
  <si>
    <t>GBPUSD</t>
  </si>
  <si>
    <t>http://forum.tradelikeapro.ru/index.php?topic=2738.msg337341#msg337341</t>
  </si>
  <si>
    <t>http://forum.tradelikeapro.ru/index.php?topic=2738.msg335974#msg335974</t>
  </si>
  <si>
    <t>EURUSD</t>
  </si>
  <si>
    <t>http://forum.tradelikeapro.ru/index.php?topic=2738.msg335441#msg335441</t>
  </si>
  <si>
    <t>CHFJPU</t>
  </si>
  <si>
    <t>http://forum.tradelikeapro.ru/index.php?topic=2738.msg332141#msg332141</t>
  </si>
  <si>
    <t>http://forum.tradelikeapro.ru/index.php?topic=2738.msg331993#msg331993</t>
  </si>
  <si>
    <t>USDJPU</t>
  </si>
  <si>
    <t>http://forum.tradelikeapro.ru/index.php?topic=2738.msg331902#msg331902</t>
  </si>
  <si>
    <t>http://forum.tradelikeapro.ru/index.php?topic=2738.msg329257#msg329257</t>
  </si>
  <si>
    <t>Лет торговли</t>
  </si>
  <si>
    <t>Итог</t>
  </si>
  <si>
    <t>AUDCAD</t>
  </si>
  <si>
    <t>http://forum.tradelikeapro.ru/index.php?topic=2738.msg347493#msg347493</t>
  </si>
  <si>
    <t>Дата выпуска</t>
  </si>
  <si>
    <t>http://forum.tradelikeapro.ru/index.php?topic=2738.msg338680#msg338680</t>
  </si>
  <si>
    <t>Февраль 05, 2017</t>
  </si>
  <si>
    <t>Период теста</t>
  </si>
  <si>
    <t>16 (есть 15)</t>
  </si>
  <si>
    <t>Февраль 22, 2017</t>
  </si>
  <si>
    <t>http://forum.tradelikeapro.ru/index.php?topic=2738.msg344038#msg344038</t>
  </si>
  <si>
    <t>Январь 26, 2017</t>
  </si>
  <si>
    <t>Март 09, 2017</t>
  </si>
  <si>
    <t>Январь 31, 2017</t>
  </si>
  <si>
    <t>Январь 10, 2017</t>
  </si>
  <si>
    <t>Январь 11, 2017</t>
  </si>
  <si>
    <t>Декабрь 25, 2016</t>
  </si>
  <si>
    <t>16 год</t>
  </si>
  <si>
    <t>Январь 25, 2017</t>
  </si>
  <si>
    <t>13-16 года</t>
  </si>
  <si>
    <t>14-17 года</t>
  </si>
  <si>
    <t>15-17 года</t>
  </si>
  <si>
    <t>16-17 года</t>
  </si>
  <si>
    <t>Автор</t>
  </si>
  <si>
    <t>Chex</t>
  </si>
  <si>
    <t>Gras</t>
  </si>
  <si>
    <t>xFalcon</t>
  </si>
  <si>
    <t>daniii88</t>
  </si>
  <si>
    <t>resolance</t>
  </si>
  <si>
    <t>aptu</t>
  </si>
  <si>
    <t>Роман26rus</t>
  </si>
  <si>
    <t>Мультивалюта</t>
  </si>
  <si>
    <t>Различная</t>
  </si>
  <si>
    <t>15 год</t>
  </si>
  <si>
    <t>Отн. просадка, %</t>
  </si>
  <si>
    <t>Макс. просадка, %</t>
  </si>
  <si>
    <t>За год, %</t>
  </si>
  <si>
    <t>За год, $</t>
  </si>
  <si>
    <t>Прибыль, %</t>
  </si>
  <si>
    <t>Прибыль, $</t>
  </si>
  <si>
    <t>Конечная сумма, $</t>
  </si>
  <si>
    <t>Начальная сумма, $</t>
  </si>
  <si>
    <t>Версия советника</t>
  </si>
  <si>
    <t>1.41</t>
  </si>
  <si>
    <t>1.42</t>
  </si>
  <si>
    <t>Уникальных пар:</t>
  </si>
  <si>
    <t>Макс. Просадка, $</t>
  </si>
  <si>
    <t>Консервативная</t>
  </si>
  <si>
    <t>2600-11266</t>
  </si>
  <si>
    <t>2,6-113%</t>
  </si>
  <si>
    <t>5,59-24,46%</t>
  </si>
  <si>
    <t>656,29-2453</t>
  </si>
  <si>
    <t>Низкий</t>
  </si>
  <si>
    <t>Коэф эффективности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</si>
</sst>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$-409]#,##0.00"/>
    <numFmt numFmtId="165" formatCode="[$$-409]#,##0"/>
    <numFmt numFmtId="166" formatCode="_-[$$-409]* #,##0.00_ ;_-[$$-409]* \-#,##0.00\ ;_-[$$-409]* &quot;-&quot;??_ ;_-@_ "/>
    <numFmt numFmtId="17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1" xfId="0" applyNumberFormat="1" applyBorder="1"/>
    <xf numFmtId="164" fontId="0" fillId="0" borderId="1" xfId="0" applyNumberFormat="1" applyBorder="1"/>
    <xf numFmtId="10" fontId="0" fillId="0" borderId="1" xfId="1" applyNumberFormat="1" applyFont="1" applyBorder="1"/>
    <xf numFmtId="17" fontId="0" fillId="0" borderId="1" xfId="0" applyNumberFormat="1" applyBorder="1"/>
    <xf numFmtId="0" fontId="3" fillId="0" borderId="1" xfId="2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164" fontId="0" fillId="0" borderId="6" xfId="0" applyNumberFormat="1" applyBorder="1"/>
    <xf numFmtId="0" fontId="0" fillId="0" borderId="5" xfId="0" applyBorder="1"/>
    <xf numFmtId="9" fontId="0" fillId="0" borderId="1" xfId="1" applyFont="1" applyBorder="1"/>
    <xf numFmtId="0" fontId="1" fillId="0" borderId="1" xfId="0" applyFont="1" applyBorder="1"/>
    <xf numFmtId="165" fontId="0" fillId="0" borderId="1" xfId="0" applyNumberFormat="1" applyBorder="1"/>
    <xf numFmtId="165" fontId="0" fillId="0" borderId="6" xfId="0" applyNumberFormat="1" applyBorder="1"/>
    <xf numFmtId="49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166" fontId="0" fillId="0" borderId="1" xfId="1" applyNumberFormat="1" applyFont="1" applyBorder="1"/>
    <xf numFmtId="166" fontId="0" fillId="0" borderId="1" xfId="0" applyNumberFormat="1" applyBorder="1"/>
    <xf numFmtId="166" fontId="0" fillId="0" borderId="0" xfId="1" applyNumberFormat="1" applyFont="1" applyBorder="1"/>
    <xf numFmtId="0" fontId="0" fillId="0" borderId="1" xfId="1" applyNumberFormat="1" applyFont="1" applyBorder="1"/>
    <xf numFmtId="9" fontId="6" fillId="0" borderId="6" xfId="0" applyNumberFormat="1" applyFont="1" applyBorder="1"/>
    <xf numFmtId="10" fontId="6" fillId="0" borderId="6" xfId="0" applyNumberFormat="1" applyFont="1" applyBorder="1"/>
    <xf numFmtId="166" fontId="6" fillId="0" borderId="6" xfId="0" applyNumberFormat="1" applyFont="1" applyBorder="1"/>
    <xf numFmtId="174" fontId="0" fillId="0" borderId="1" xfId="1" applyNumberFormat="1" applyFont="1" applyBorder="1"/>
    <xf numFmtId="174" fontId="6" fillId="0" borderId="6" xfId="0" applyNumberFormat="1" applyFont="1" applyBorder="1"/>
  </cellXfs>
  <cellStyles count="3">
    <cellStyle name="Гиперссылка" xfId="2" builtinId="8"/>
    <cellStyle name="Обычный" xfId="0" builtinId="0"/>
    <cellStyle name="Процентный" xfId="1" builtinId="5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409]* #,##0.00_ ;_-[$$-409]* \-#,##0.00\ ;_-[$$-409]* &quot;-&quot;??_ ;_-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409]* #,##0.00_ ;_-[$$-409]* \-#,##0.00\ ;_-[$$-409]* &quot;-&quot;??_ ;_-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$-409]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Q13" totalsRowCount="1" headerRowDxfId="38" totalsRowDxfId="35" headerRowBorderDxfId="37" tableBorderDxfId="36" totalsRowBorderDxfId="34">
  <autoFilter ref="A1:Q12"/>
  <sortState ref="A2:Q12">
    <sortCondition descending="1" ref="P1:P12"/>
  </sortState>
  <tableColumns count="17">
    <tableColumn id="14" name="Дата выпуска" totalsRowLabel="Итог" dataDxfId="33" totalsRowDxfId="16"/>
    <tableColumn id="1" name="Версия советника" dataDxfId="32" totalsRowDxfId="15"/>
    <tableColumn id="17" name="Автор" totalsRowLabel="Уникальных пар:" dataDxfId="31" totalsRowDxfId="14"/>
    <tableColumn id="2" name="Пара" totalsRowFunction="custom" dataDxfId="30" totalsRowDxfId="13">
      <totalsRowFormula>SUM(IF(FREQUENCY(MATCH(D2:D12,D2:D12,0),MATCH(D2:D12,D2:D12,0))&gt;0,1))</totalsRowFormula>
    </tableColumn>
    <tableColumn id="3" name="Период теста" dataDxfId="29" totalsRowDxfId="12"/>
    <tableColumn id="4" name="Лет торговли" dataDxfId="28" totalsRowDxfId="11"/>
    <tableColumn id="5" name="Начальная сумма, $" totalsRowFunction="average" dataDxfId="27" totalsRowDxfId="10"/>
    <tableColumn id="6" name="Конечная сумма, $" totalsRowFunction="average" dataDxfId="26" totalsRowDxfId="9"/>
    <tableColumn id="7" name="Прибыль, $" totalsRowFunction="average" dataDxfId="25" totalsRowDxfId="8"/>
    <tableColumn id="8" name="Прибыль, %" totalsRowFunction="average" dataDxfId="24" totalsRowDxfId="7" dataCellStyle="Процентный"/>
    <tableColumn id="9" name="За год, $" totalsRowFunction="average" dataDxfId="23" totalsRowDxfId="6"/>
    <tableColumn id="10" name="За год, %" totalsRowFunction="average" dataDxfId="22" totalsRowDxfId="5" dataCellStyle="Процентный">
      <calculatedColumnFormula>K2/G2</calculatedColumnFormula>
    </tableColumn>
    <tableColumn id="15" name="Отн. просадка, %" totalsRowFunction="average" dataDxfId="21" totalsRowDxfId="4" dataCellStyle="Процентный"/>
    <tableColumn id="22" name="Макс. Просадка, $" totalsRowFunction="average" dataDxfId="20" totalsRowDxfId="3" dataCellStyle="Процентный"/>
    <tableColumn id="13" name="Макс. просадка, %" totalsRowFunction="average" dataDxfId="19" totalsRowDxfId="2" dataCellStyle="Процентный"/>
    <tableColumn id="21" name="Коэф эффективности" totalsRowFunction="average" dataDxfId="17" totalsRowDxfId="0" dataCellStyle="Процентный">
      <calculatedColumnFormula>Таблица1[[#This Row],[За год, $]]/Таблица1[[#This Row],[Макс. Просадка, $]]/Таблица1[[#This Row],[Начальная сумма, $]]</calculatedColumnFormula>
    </tableColumn>
    <tableColumn id="11" name="Ссылка" dataDxfId="18" totalsRow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tradelikeapro.ru/index.php?topic=2738.msg344038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://forum.tradelikeapro.ru/index.php?topic=2738.msg335974" TargetMode="External"/><Relationship Id="rId7" Type="http://schemas.openxmlformats.org/officeDocument/2006/relationships/hyperlink" Target="http://forum.tradelikeapro.ru/index.php?topic=2738.msg331993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forum.tradelikeapro.ru/index.php?topic=2738.msg331902" TargetMode="External"/><Relationship Id="rId1" Type="http://schemas.openxmlformats.org/officeDocument/2006/relationships/hyperlink" Target="http://forum.tradelikeapro.ru/index.php?topic=2738.msg332141" TargetMode="External"/><Relationship Id="rId6" Type="http://schemas.openxmlformats.org/officeDocument/2006/relationships/hyperlink" Target="http://forum.tradelikeapro.ru/index.php?topic=2738.msg329257" TargetMode="External"/><Relationship Id="rId11" Type="http://schemas.openxmlformats.org/officeDocument/2006/relationships/hyperlink" Target="http://forum.tradelikeapro.ru/index.php?topic=2738.msg335441" TargetMode="External"/><Relationship Id="rId5" Type="http://schemas.openxmlformats.org/officeDocument/2006/relationships/hyperlink" Target="http://forum.tradelikeapro.ru/index.php?topic=2738.msg337341" TargetMode="External"/><Relationship Id="rId15" Type="http://schemas.openxmlformats.org/officeDocument/2006/relationships/comments" Target="../comments1.xml"/><Relationship Id="rId10" Type="http://schemas.openxmlformats.org/officeDocument/2006/relationships/hyperlink" Target="http://forum.tradelikeapro.ru/index.php?topic=2738.msg331902" TargetMode="External"/><Relationship Id="rId4" Type="http://schemas.openxmlformats.org/officeDocument/2006/relationships/hyperlink" Target="http://forum.tradelikeapro.ru/index.php?topic=2738.msg347493" TargetMode="External"/><Relationship Id="rId9" Type="http://schemas.openxmlformats.org/officeDocument/2006/relationships/hyperlink" Target="http://forum.tradelikeapro.ru/index.php?topic=2738.msg338680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"/>
  <sheetViews>
    <sheetView tabSelected="1" topLeftCell="E1" zoomScale="90" zoomScaleNormal="90" workbookViewId="0">
      <selection activeCell="P12" sqref="P12"/>
    </sheetView>
  </sheetViews>
  <sheetFormatPr defaultRowHeight="15" x14ac:dyDescent="0.25"/>
  <cols>
    <col min="1" max="1" width="20" customWidth="1"/>
    <col min="2" max="2" width="16.85546875" customWidth="1"/>
    <col min="3" max="3" width="19.7109375" customWidth="1"/>
    <col min="4" max="4" width="15.7109375" customWidth="1"/>
    <col min="5" max="5" width="15.5703125" customWidth="1"/>
    <col min="6" max="6" width="16.7109375" customWidth="1"/>
    <col min="7" max="7" width="21.42578125" customWidth="1"/>
    <col min="8" max="8" width="20" customWidth="1"/>
    <col min="9" max="9" width="14.140625" customWidth="1"/>
    <col min="10" max="10" width="14.7109375" customWidth="1"/>
    <col min="11" max="11" width="14" customWidth="1"/>
    <col min="12" max="12" width="13.140625" customWidth="1"/>
    <col min="13" max="14" width="19.140625" customWidth="1"/>
    <col min="15" max="15" width="20" customWidth="1"/>
    <col min="16" max="16" width="25.7109375" customWidth="1"/>
    <col min="17" max="17" width="70.42578125" customWidth="1"/>
    <col min="18" max="18" width="68.85546875" customWidth="1"/>
  </cols>
  <sheetData>
    <row r="1" spans="1:17" x14ac:dyDescent="0.25">
      <c r="A1" s="8" t="s">
        <v>17</v>
      </c>
      <c r="B1" s="7" t="s">
        <v>55</v>
      </c>
      <c r="C1" s="8" t="s">
        <v>36</v>
      </c>
      <c r="D1" s="8" t="s">
        <v>0</v>
      </c>
      <c r="E1" s="8" t="s">
        <v>20</v>
      </c>
      <c r="F1" s="8" t="s">
        <v>13</v>
      </c>
      <c r="G1" s="8" t="s">
        <v>54</v>
      </c>
      <c r="H1" s="8" t="s">
        <v>53</v>
      </c>
      <c r="I1" s="8" t="s">
        <v>52</v>
      </c>
      <c r="J1" s="8" t="s">
        <v>51</v>
      </c>
      <c r="K1" s="8" t="s">
        <v>50</v>
      </c>
      <c r="L1" s="8" t="s">
        <v>49</v>
      </c>
      <c r="M1" s="8" t="s">
        <v>47</v>
      </c>
      <c r="N1" s="8" t="s">
        <v>59</v>
      </c>
      <c r="O1" s="8" t="s">
        <v>48</v>
      </c>
      <c r="P1" s="8" t="s">
        <v>66</v>
      </c>
      <c r="Q1" s="8" t="s">
        <v>1</v>
      </c>
    </row>
    <row r="2" spans="1:17" x14ac:dyDescent="0.25">
      <c r="A2" s="1" t="s">
        <v>28</v>
      </c>
      <c r="B2" s="16" t="s">
        <v>56</v>
      </c>
      <c r="C2" s="2" t="s">
        <v>43</v>
      </c>
      <c r="D2" s="1" t="s">
        <v>44</v>
      </c>
      <c r="E2" s="1" t="s">
        <v>32</v>
      </c>
      <c r="F2" s="2">
        <v>3</v>
      </c>
      <c r="G2" s="3">
        <v>10000</v>
      </c>
      <c r="H2" s="14" t="s">
        <v>45</v>
      </c>
      <c r="I2" s="14" t="s">
        <v>61</v>
      </c>
      <c r="J2" s="12" t="s">
        <v>62</v>
      </c>
      <c r="K2" s="14"/>
      <c r="L2" s="4"/>
      <c r="M2" s="4" t="s">
        <v>63</v>
      </c>
      <c r="N2" s="19" t="s">
        <v>64</v>
      </c>
      <c r="O2" s="4" t="s">
        <v>60</v>
      </c>
      <c r="P2" s="22" t="s">
        <v>65</v>
      </c>
      <c r="Q2" s="6" t="s">
        <v>9</v>
      </c>
    </row>
    <row r="3" spans="1:17" x14ac:dyDescent="0.25">
      <c r="A3" s="1" t="s">
        <v>27</v>
      </c>
      <c r="B3" s="16" t="s">
        <v>56</v>
      </c>
      <c r="C3" s="1" t="s">
        <v>39</v>
      </c>
      <c r="D3" s="1" t="s">
        <v>5</v>
      </c>
      <c r="E3" s="13" t="s">
        <v>30</v>
      </c>
      <c r="F3" s="2">
        <v>1</v>
      </c>
      <c r="G3" s="3">
        <v>7000</v>
      </c>
      <c r="H3" s="14">
        <v>52988</v>
      </c>
      <c r="I3" s="14">
        <f>H3-G3</f>
        <v>45988</v>
      </c>
      <c r="J3" s="12">
        <f>H3/G3</f>
        <v>7.5697142857142854</v>
      </c>
      <c r="K3" s="14">
        <f>I3/F3</f>
        <v>45988</v>
      </c>
      <c r="L3" s="4">
        <f>K3/G3</f>
        <v>6.5697142857142854</v>
      </c>
      <c r="M3" s="4">
        <v>0.53839999999999999</v>
      </c>
      <c r="N3" s="19">
        <v>7850.64</v>
      </c>
      <c r="O3" s="4">
        <v>0.53839999999999999</v>
      </c>
      <c r="P3" s="26">
        <f>Таблица1[[#This Row],[За год, $]]/Таблица1[[#This Row],[Макс. Просадка, $]]</f>
        <v>5.857866365035207</v>
      </c>
      <c r="Q3" s="6" t="s">
        <v>11</v>
      </c>
    </row>
    <row r="4" spans="1:17" x14ac:dyDescent="0.25">
      <c r="A4" s="1" t="s">
        <v>31</v>
      </c>
      <c r="B4" s="16" t="s">
        <v>56</v>
      </c>
      <c r="C4" s="1" t="s">
        <v>41</v>
      </c>
      <c r="D4" s="1" t="s">
        <v>5</v>
      </c>
      <c r="E4" s="5" t="s">
        <v>35</v>
      </c>
      <c r="F4" s="2">
        <v>1.2</v>
      </c>
      <c r="G4" s="3">
        <v>2000</v>
      </c>
      <c r="H4" s="14">
        <v>30588</v>
      </c>
      <c r="I4" s="14">
        <f>H4-G4</f>
        <v>28588</v>
      </c>
      <c r="J4" s="12">
        <f>H4/G4</f>
        <v>15.294</v>
      </c>
      <c r="K4" s="14">
        <f>I4/F4</f>
        <v>23823.333333333336</v>
      </c>
      <c r="L4" s="4">
        <f>K4/G4</f>
        <v>11.911666666666667</v>
      </c>
      <c r="M4" s="4">
        <v>0.22720000000000001</v>
      </c>
      <c r="N4" s="21">
        <v>4430.1400000000003</v>
      </c>
      <c r="O4" s="4">
        <v>0.66690000000000005</v>
      </c>
      <c r="P4" s="26">
        <f>Таблица1[[#This Row],[За год, $]]/Таблица1[[#This Row],[Макс. Просадка, $]]</f>
        <v>5.3775576693588318</v>
      </c>
      <c r="Q4" s="6" t="s">
        <v>6</v>
      </c>
    </row>
    <row r="5" spans="1:17" x14ac:dyDescent="0.25">
      <c r="A5" s="1" t="s">
        <v>27</v>
      </c>
      <c r="B5" s="16" t="s">
        <v>56</v>
      </c>
      <c r="C5" s="1" t="s">
        <v>39</v>
      </c>
      <c r="D5" s="1" t="s">
        <v>10</v>
      </c>
      <c r="E5" s="13" t="s">
        <v>46</v>
      </c>
      <c r="F5" s="2">
        <v>1</v>
      </c>
      <c r="G5" s="3">
        <v>20000</v>
      </c>
      <c r="H5" s="14">
        <v>104491</v>
      </c>
      <c r="I5" s="14">
        <f>H5-G5</f>
        <v>84491</v>
      </c>
      <c r="J5" s="12">
        <f>H5/G5</f>
        <v>5.2245499999999998</v>
      </c>
      <c r="K5" s="14">
        <f>I5/F5</f>
        <v>84491</v>
      </c>
      <c r="L5" s="4">
        <f>K5/G5</f>
        <v>4.2245499999999998</v>
      </c>
      <c r="M5" s="4">
        <v>0.45929999999999999</v>
      </c>
      <c r="N5" s="19">
        <v>16437.47</v>
      </c>
      <c r="O5" s="4">
        <v>0.58530000000000004</v>
      </c>
      <c r="P5" s="26">
        <f>Таблица1[[#This Row],[За год, $]]/Таблица1[[#This Row],[Макс. Просадка, $]]</f>
        <v>5.140146263384815</v>
      </c>
      <c r="Q5" s="6" t="s">
        <v>11</v>
      </c>
    </row>
    <row r="6" spans="1:17" x14ac:dyDescent="0.25">
      <c r="A6" s="1" t="s">
        <v>28</v>
      </c>
      <c r="B6" s="16" t="s">
        <v>56</v>
      </c>
      <c r="C6" s="1" t="s">
        <v>38</v>
      </c>
      <c r="D6" s="1" t="s">
        <v>7</v>
      </c>
      <c r="E6" s="1" t="s">
        <v>34</v>
      </c>
      <c r="F6" s="2">
        <v>2.1</v>
      </c>
      <c r="G6" s="3">
        <v>30000</v>
      </c>
      <c r="H6" s="14">
        <v>316754</v>
      </c>
      <c r="I6" s="14">
        <f>H6-G6</f>
        <v>286754</v>
      </c>
      <c r="J6" s="12">
        <f>H6/G6</f>
        <v>10.558466666666666</v>
      </c>
      <c r="K6" s="14">
        <f>I6/F6</f>
        <v>136549.52380952382</v>
      </c>
      <c r="L6" s="4">
        <f>K6/G6</f>
        <v>4.5516507936507935</v>
      </c>
      <c r="M6" s="4">
        <v>0.14449999999999999</v>
      </c>
      <c r="N6" s="19">
        <v>32871.81</v>
      </c>
      <c r="O6" s="4">
        <v>0.44019999999999998</v>
      </c>
      <c r="P6" s="26">
        <f>Таблица1[[#This Row],[За год, $]]/Таблица1[[#This Row],[Макс. Просадка, $]]</f>
        <v>4.1540007626450697</v>
      </c>
      <c r="Q6" s="6" t="s">
        <v>8</v>
      </c>
    </row>
    <row r="7" spans="1:17" x14ac:dyDescent="0.25">
      <c r="A7" s="1" t="s">
        <v>29</v>
      </c>
      <c r="B7" s="16" t="s">
        <v>56</v>
      </c>
      <c r="C7" s="1" t="s">
        <v>42</v>
      </c>
      <c r="D7" s="1" t="s">
        <v>5</v>
      </c>
      <c r="E7" s="1" t="s">
        <v>30</v>
      </c>
      <c r="F7" s="2">
        <v>1</v>
      </c>
      <c r="G7" s="3">
        <v>5000</v>
      </c>
      <c r="H7" s="14">
        <v>44026</v>
      </c>
      <c r="I7" s="14">
        <f>H7-G7</f>
        <v>39026</v>
      </c>
      <c r="J7" s="12">
        <f>H7/G7</f>
        <v>8.8051999999999992</v>
      </c>
      <c r="K7" s="14">
        <f>I7/F7</f>
        <v>39026</v>
      </c>
      <c r="L7" s="4">
        <f>K7/G7</f>
        <v>7.8052000000000001</v>
      </c>
      <c r="M7" s="4">
        <v>0.38950000000000001</v>
      </c>
      <c r="N7" s="20">
        <v>9871.9699999999993</v>
      </c>
      <c r="O7" s="4">
        <v>0.6724</v>
      </c>
      <c r="P7" s="26">
        <f>Таблица1[[#This Row],[За год, $]]/Таблица1[[#This Row],[Макс. Просадка, $]]</f>
        <v>3.9532129858579395</v>
      </c>
      <c r="Q7" s="6" t="s">
        <v>12</v>
      </c>
    </row>
    <row r="8" spans="1:17" x14ac:dyDescent="0.25">
      <c r="A8" s="1" t="s">
        <v>19</v>
      </c>
      <c r="B8" s="16" t="s">
        <v>56</v>
      </c>
      <c r="C8" s="1" t="s">
        <v>40</v>
      </c>
      <c r="D8" s="1" t="s">
        <v>5</v>
      </c>
      <c r="E8" s="1" t="s">
        <v>21</v>
      </c>
      <c r="F8" s="2">
        <v>1</v>
      </c>
      <c r="G8" s="3">
        <v>5300</v>
      </c>
      <c r="H8" s="14">
        <f>20384 + 5300</f>
        <v>25684</v>
      </c>
      <c r="I8" s="14">
        <f>H8-G8</f>
        <v>20384</v>
      </c>
      <c r="J8" s="12">
        <f>H8/G8</f>
        <v>4.8460377358490563</v>
      </c>
      <c r="K8" s="14">
        <f>I8/F8</f>
        <v>20384</v>
      </c>
      <c r="L8" s="4">
        <f>K8/G8</f>
        <v>3.8460377358490567</v>
      </c>
      <c r="M8" s="4">
        <v>0.53839999999999999</v>
      </c>
      <c r="N8" s="19">
        <v>6046.18</v>
      </c>
      <c r="O8" s="4">
        <v>0.53839999999999999</v>
      </c>
      <c r="P8" s="26">
        <f>Таблица1[[#This Row],[За год, $]]/Таблица1[[#This Row],[Макс. Просадка, $]]</f>
        <v>3.3713849074953108</v>
      </c>
      <c r="Q8" s="6" t="s">
        <v>18</v>
      </c>
    </row>
    <row r="9" spans="1:17" x14ac:dyDescent="0.25">
      <c r="A9" s="1" t="s">
        <v>26</v>
      </c>
      <c r="B9" s="16" t="s">
        <v>56</v>
      </c>
      <c r="C9" s="1" t="s">
        <v>38</v>
      </c>
      <c r="D9" s="1" t="s">
        <v>2</v>
      </c>
      <c r="E9" s="1" t="s">
        <v>35</v>
      </c>
      <c r="F9" s="2">
        <v>1.2</v>
      </c>
      <c r="G9" s="3">
        <v>5000</v>
      </c>
      <c r="H9" s="14">
        <v>13166</v>
      </c>
      <c r="I9" s="14">
        <f>H9-G9</f>
        <v>8166</v>
      </c>
      <c r="J9" s="12">
        <f>H9/G9</f>
        <v>2.6332</v>
      </c>
      <c r="K9" s="14">
        <f>I9/F9</f>
        <v>6805</v>
      </c>
      <c r="L9" s="4">
        <f>K9/G9</f>
        <v>1.361</v>
      </c>
      <c r="M9" s="4">
        <v>0.505</v>
      </c>
      <c r="N9" s="19">
        <v>2975.18</v>
      </c>
      <c r="O9" s="4">
        <v>0.505</v>
      </c>
      <c r="P9" s="26">
        <f>Таблица1[[#This Row],[За год, $]]/Таблица1[[#This Row],[Макс. Просадка, $]]</f>
        <v>2.2872565693504261</v>
      </c>
      <c r="Q9" s="6" t="s">
        <v>3</v>
      </c>
    </row>
    <row r="10" spans="1:17" x14ac:dyDescent="0.25">
      <c r="A10" s="1" t="s">
        <v>22</v>
      </c>
      <c r="B10" s="16" t="s">
        <v>56</v>
      </c>
      <c r="C10" s="1" t="s">
        <v>37</v>
      </c>
      <c r="D10" s="1" t="s">
        <v>5</v>
      </c>
      <c r="E10" s="1" t="s">
        <v>33</v>
      </c>
      <c r="F10" s="2">
        <v>3.2</v>
      </c>
      <c r="G10" s="3">
        <v>100000</v>
      </c>
      <c r="H10" s="14">
        <f>680049-100000</f>
        <v>580049</v>
      </c>
      <c r="I10" s="14">
        <v>680049</v>
      </c>
      <c r="J10" s="12">
        <f>H10/G10</f>
        <v>5.8004899999999999</v>
      </c>
      <c r="K10" s="14">
        <f>I10/F10</f>
        <v>212515.3125</v>
      </c>
      <c r="L10" s="4">
        <f>K10/G10</f>
        <v>2.1251531250000002</v>
      </c>
      <c r="M10" s="4">
        <v>0.70209999999999995</v>
      </c>
      <c r="N10" s="19">
        <v>98237.92</v>
      </c>
      <c r="O10" s="4">
        <v>0.314</v>
      </c>
      <c r="P10" s="26">
        <f>Таблица1[[#This Row],[За год, $]]/Таблица1[[#This Row],[Макс. Просадка, $]]</f>
        <v>2.1632717030246571</v>
      </c>
      <c r="Q10" s="6" t="s">
        <v>23</v>
      </c>
    </row>
    <row r="11" spans="1:17" x14ac:dyDescent="0.25">
      <c r="A11" s="1" t="s">
        <v>25</v>
      </c>
      <c r="B11" s="16" t="s">
        <v>57</v>
      </c>
      <c r="C11" s="1" t="s">
        <v>37</v>
      </c>
      <c r="D11" s="1" t="s">
        <v>15</v>
      </c>
      <c r="E11" s="1" t="s">
        <v>33</v>
      </c>
      <c r="F11" s="2">
        <v>3.2</v>
      </c>
      <c r="G11" s="3">
        <v>250000</v>
      </c>
      <c r="H11" s="14">
        <v>839184</v>
      </c>
      <c r="I11" s="14">
        <f>H11-G11</f>
        <v>589184</v>
      </c>
      <c r="J11" s="12">
        <f>H11/G11</f>
        <v>3.3567360000000002</v>
      </c>
      <c r="K11" s="14">
        <f>I11/F11</f>
        <v>184120</v>
      </c>
      <c r="L11" s="4">
        <f>K11/G11</f>
        <v>0.73648000000000002</v>
      </c>
      <c r="M11" s="4">
        <v>0.19969999999999999</v>
      </c>
      <c r="N11" s="19">
        <v>136667.26</v>
      </c>
      <c r="O11" s="4">
        <v>0.19969999999999999</v>
      </c>
      <c r="P11" s="26">
        <f>Таблица1[[#This Row],[За год, $]]/Таблица1[[#This Row],[Макс. Просадка, $]]</f>
        <v>1.3472136633162908</v>
      </c>
      <c r="Q11" s="6" t="s">
        <v>16</v>
      </c>
    </row>
    <row r="12" spans="1:17" x14ac:dyDescent="0.25">
      <c r="A12" s="1" t="s">
        <v>24</v>
      </c>
      <c r="B12" s="16" t="s">
        <v>56</v>
      </c>
      <c r="C12" s="1" t="s">
        <v>38</v>
      </c>
      <c r="D12" s="1" t="s">
        <v>2</v>
      </c>
      <c r="E12" s="1" t="s">
        <v>34</v>
      </c>
      <c r="F12" s="2">
        <v>2.2000000000000002</v>
      </c>
      <c r="G12" s="3">
        <v>50000</v>
      </c>
      <c r="H12" s="14">
        <v>94778</v>
      </c>
      <c r="I12" s="14">
        <f>H12-G12</f>
        <v>44778</v>
      </c>
      <c r="J12" s="12">
        <f>H12/G12</f>
        <v>1.8955599999999999</v>
      </c>
      <c r="K12" s="14">
        <f>I12/F12</f>
        <v>20353.63636363636</v>
      </c>
      <c r="L12" s="4">
        <f>K12/G12</f>
        <v>0.4070727272727272</v>
      </c>
      <c r="M12" s="4">
        <v>0.41339999999999999</v>
      </c>
      <c r="N12" s="19">
        <v>27858.06</v>
      </c>
      <c r="O12" s="4">
        <v>0.41339999999999999</v>
      </c>
      <c r="P12" s="26">
        <f>Таблица1[[#This Row],[За год, $]]/Таблица1[[#This Row],[Макс. Просадка, $]]</f>
        <v>0.73061930240786188</v>
      </c>
      <c r="Q12" s="6" t="s">
        <v>4</v>
      </c>
    </row>
    <row r="13" spans="1:17" x14ac:dyDescent="0.25">
      <c r="A13" s="9" t="s">
        <v>14</v>
      </c>
      <c r="B13" s="11"/>
      <c r="C13" s="17" t="s">
        <v>58</v>
      </c>
      <c r="D13" s="18">
        <f>SUM(IF(FREQUENCY(MATCH(D2:D12,D2:D12,0),MATCH(D2:D12,D2:D12,0))&gt;0,1))</f>
        <v>6</v>
      </c>
      <c r="E13" s="9"/>
      <c r="F13" s="9"/>
      <c r="G13" s="10">
        <f>SUBTOTAL(101,Таблица1[Начальная сумма, $])</f>
        <v>44027.272727272728</v>
      </c>
      <c r="H13" s="15">
        <f>SUBTOTAL(101,Таблица1[Конечная сумма, $])</f>
        <v>210170.8</v>
      </c>
      <c r="I13" s="15">
        <f>SUBTOTAL(101,Таблица1[Прибыль, $])</f>
        <v>182740.8</v>
      </c>
      <c r="J13" s="23">
        <f>SUBTOTAL(101,Таблица1[Прибыль, %])</f>
        <v>6.5983954688230018</v>
      </c>
      <c r="K13" s="15">
        <f>SUBTOTAL(101,Таблица1[За год, $])</f>
        <v>77405.580600649351</v>
      </c>
      <c r="L13" s="24">
        <f>SUBTOTAL(101,Таблица1[За год, %])</f>
        <v>4.3538525334153526</v>
      </c>
      <c r="M13" s="24">
        <f>SUBTOTAL(101,Таблица1[Отн. просадка, %])</f>
        <v>0.41174999999999995</v>
      </c>
      <c r="N13" s="25">
        <f>SUBTOTAL(101,Таблица1[Макс. Просадка, $])</f>
        <v>34324.663</v>
      </c>
      <c r="O13" s="24">
        <f>SUBTOTAL(101,Таблица1[Макс. просадка, %])</f>
        <v>0.48737000000000003</v>
      </c>
      <c r="P13" s="27">
        <f>SUBTOTAL(101,Таблица1[Коэф эффективности])</f>
        <v>3.4382530191876404</v>
      </c>
      <c r="Q13" s="9"/>
    </row>
  </sheetData>
  <hyperlinks>
    <hyperlink ref="Q6" r:id="rId1" location="msg332141"/>
    <hyperlink ref="Q5" r:id="rId2" location="msg331902"/>
    <hyperlink ref="Q12" r:id="rId3" location="msg335974"/>
    <hyperlink ref="Q11" r:id="rId4" location="msg347493"/>
    <hyperlink ref="Q9" r:id="rId5" location="msg337341"/>
    <hyperlink ref="Q7" r:id="rId6" location="msg329257"/>
    <hyperlink ref="Q2" r:id="rId7" location="msg331993"/>
    <hyperlink ref="Q10" r:id="rId8" location="msg344038"/>
    <hyperlink ref="Q8" r:id="rId9" location="msg338680"/>
    <hyperlink ref="Q3" r:id="rId10" location="msg331902"/>
    <hyperlink ref="Q4" r:id="rId11" location="msg335441"/>
  </hyperlinks>
  <pageMargins left="0.7" right="0.7" top="0.75" bottom="0.75" header="0.3" footer="0.3"/>
  <pageSetup paperSize="9" orientation="portrait" r:id="rId12"/>
  <legacyDrawing r:id="rId1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2017-03-12T19:32:22Z</dcterms:modified>
</cp:coreProperties>
</file>