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Oceani4\Desktop\Сетка - сеты\"/>
    </mc:Choice>
  </mc:AlternateContent>
  <bookViews>
    <workbookView xWindow="0" yWindow="0" windowWidth="18900" windowHeight="11460" tabRatio="688"/>
  </bookViews>
  <sheets>
    <sheet name="Сводная таблица" sheetId="10" r:id="rId1"/>
    <sheet name="График" sheetId="12" r:id="rId2"/>
    <sheet name="Залоги и Цена пункта" sheetId="13" r:id="rId3"/>
    <sheet name="Волатильность" sheetId="9" r:id="rId4"/>
  </sheets>
  <definedNames>
    <definedName name="_xlnm._FilterDatabase" localSheetId="0" hidden="1">'Сводная таблица'!$A$15:$AF$15</definedName>
    <definedName name="ExternalData_1" localSheetId="3" hidden="1">Волатильность!$A$1:$D$22</definedName>
    <definedName name="ExternalData_2" localSheetId="3" hidden="1">Волатильность!$E$1:$H$22</definedName>
    <definedName name="solver_adj" localSheetId="0" hidden="1">'Сводная таблица'!$C$11,'Сводная таблица'!$K$8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'Сводная таблица'!$AB$7</definedName>
    <definedName name="solver_lhs2" localSheetId="0" hidden="1">'Сводная таблица'!$AB$2</definedName>
    <definedName name="solver_lhs3" localSheetId="0" hidden="1">'Сводная таблица'!$C$11</definedName>
    <definedName name="solver_lhs4" localSheetId="0" hidden="1">'Сводная таблица'!$K$7</definedName>
    <definedName name="solver_lhs5" localSheetId="0" hidden="1">'Сводная таблица'!$K$7</definedName>
    <definedName name="solver_mip" localSheetId="0" hidden="1">2147483647</definedName>
    <definedName name="solver_mni" localSheetId="0" hidden="1">600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'Сводная таблица'!$Z$3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3</definedName>
    <definedName name="solver_rhs1" localSheetId="0" hidden="1">25%</definedName>
    <definedName name="solver_rhs2" localSheetId="0" hidden="1">500%</definedName>
    <definedName name="solver_rhs3" localSheetId="0" hidden="1">100</definedName>
    <definedName name="solver_rhs4" localSheetId="0" hidden="1">'Сводная таблица'!$K$5+1</definedName>
    <definedName name="solver_rhs5" localSheetId="0" hidden="1">'Сводная таблица'!$K$5+1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безубыток">'Сводная таблица'!$R$17:INDEX('Сводная таблица'!$R$17:$R$116,MATCH(0,'Сводная таблица'!$AB$17:$AB$116,-1))</definedName>
    <definedName name="маржа">'Сводная таблица'!$AB$17:INDEX('Сводная таблица'!$AB$17:$AB$116,MATCH(0,'Сводная таблица'!$AB$17:$AB$116,-1))</definedName>
    <definedName name="прибыль">'Сводная таблица'!$M$17:INDEX('Сводная таблица'!$M$17:$M$116,MATCH(0,'Сводная таблица'!$AB$17:$AB$116,-1))</definedName>
    <definedName name="сетка">'Сводная таблица'!$G$17:INDEX('Сводная таблица'!$G$17:$G$116,MATCH(0,'Сводная таблица'!$AB$17:$AB$116,-1))</definedName>
    <definedName name="ТР">'Сводная таблица'!$T$17:INDEX('Сводная таблица'!$T$17:$T$116,MATCH(0,'Сводная таблица'!$AB$17:$AB$116,-1))</definedName>
  </definedNames>
  <calcPr calcId="162913"/>
</workbook>
</file>

<file path=xl/calcChain.xml><?xml version="1.0" encoding="utf-8"?>
<calcChain xmlns="http://schemas.openxmlformats.org/spreadsheetml/2006/main">
  <c r="P5" i="10" l="1"/>
  <c r="B20" i="10" l="1"/>
  <c r="E20" i="10"/>
  <c r="B21" i="10"/>
  <c r="E21" i="10"/>
  <c r="B22" i="10"/>
  <c r="E22" i="10"/>
  <c r="B23" i="10"/>
  <c r="E23" i="10"/>
  <c r="B24" i="10"/>
  <c r="E24" i="10"/>
  <c r="B25" i="10"/>
  <c r="E25" i="10"/>
  <c r="B26" i="10"/>
  <c r="E26" i="10"/>
  <c r="B27" i="10"/>
  <c r="E27" i="10"/>
  <c r="B28" i="10"/>
  <c r="E28" i="10"/>
  <c r="B29" i="10"/>
  <c r="E29" i="10"/>
  <c r="B30" i="10"/>
  <c r="E30" i="10"/>
  <c r="B31" i="10"/>
  <c r="E31" i="10"/>
  <c r="B32" i="10"/>
  <c r="E32" i="10"/>
  <c r="B33" i="10"/>
  <c r="E33" i="10"/>
  <c r="B34" i="10"/>
  <c r="E34" i="10"/>
  <c r="B35" i="10"/>
  <c r="E35" i="10"/>
  <c r="B36" i="10"/>
  <c r="E36" i="10"/>
  <c r="B37" i="10"/>
  <c r="E37" i="10"/>
  <c r="B38" i="10"/>
  <c r="E38" i="10"/>
  <c r="B39" i="10"/>
  <c r="E39" i="10"/>
  <c r="B40" i="10"/>
  <c r="E40" i="10"/>
  <c r="B41" i="10"/>
  <c r="E41" i="10"/>
  <c r="B42" i="10"/>
  <c r="E42" i="10"/>
  <c r="B43" i="10"/>
  <c r="E43" i="10"/>
  <c r="B44" i="10"/>
  <c r="E44" i="10"/>
  <c r="B45" i="10"/>
  <c r="E45" i="10"/>
  <c r="B46" i="10"/>
  <c r="E46" i="10"/>
  <c r="B47" i="10"/>
  <c r="E47" i="10"/>
  <c r="B48" i="10"/>
  <c r="E48" i="10"/>
  <c r="B49" i="10"/>
  <c r="E49" i="10"/>
  <c r="B50" i="10"/>
  <c r="E50" i="10"/>
  <c r="B51" i="10"/>
  <c r="E51" i="10"/>
  <c r="B52" i="10"/>
  <c r="E52" i="10"/>
  <c r="B53" i="10"/>
  <c r="E53" i="10"/>
  <c r="B54" i="10"/>
  <c r="E54" i="10"/>
  <c r="B55" i="10"/>
  <c r="E55" i="10"/>
  <c r="B56" i="10"/>
  <c r="E56" i="10"/>
  <c r="B57" i="10"/>
  <c r="E57" i="10"/>
  <c r="B58" i="10"/>
  <c r="E58" i="10"/>
  <c r="B59" i="10"/>
  <c r="E59" i="10"/>
  <c r="B60" i="10"/>
  <c r="E60" i="10"/>
  <c r="B61" i="10"/>
  <c r="E61" i="10"/>
  <c r="B62" i="10"/>
  <c r="E62" i="10"/>
  <c r="B63" i="10"/>
  <c r="E63" i="10"/>
  <c r="B64" i="10"/>
  <c r="E64" i="10"/>
  <c r="B65" i="10"/>
  <c r="E65" i="10"/>
  <c r="B66" i="10"/>
  <c r="E66" i="10"/>
  <c r="B67" i="10"/>
  <c r="E67" i="10"/>
  <c r="B68" i="10"/>
  <c r="E68" i="10"/>
  <c r="B69" i="10"/>
  <c r="E69" i="10"/>
  <c r="B70" i="10"/>
  <c r="E70" i="10"/>
  <c r="B71" i="10"/>
  <c r="E71" i="10"/>
  <c r="B72" i="10"/>
  <c r="E72" i="10"/>
  <c r="B73" i="10"/>
  <c r="E73" i="10"/>
  <c r="B74" i="10"/>
  <c r="E74" i="10"/>
  <c r="B75" i="10"/>
  <c r="E75" i="10"/>
  <c r="B76" i="10"/>
  <c r="E76" i="10"/>
  <c r="B77" i="10"/>
  <c r="E77" i="10"/>
  <c r="B78" i="10"/>
  <c r="E78" i="10"/>
  <c r="B79" i="10"/>
  <c r="E79" i="10"/>
  <c r="B80" i="10"/>
  <c r="E80" i="10"/>
  <c r="B81" i="10"/>
  <c r="E81" i="10"/>
  <c r="B82" i="10"/>
  <c r="E82" i="10"/>
  <c r="B83" i="10"/>
  <c r="E83" i="10"/>
  <c r="B84" i="10"/>
  <c r="E84" i="10"/>
  <c r="B85" i="10"/>
  <c r="E85" i="10"/>
  <c r="B86" i="10"/>
  <c r="E86" i="10"/>
  <c r="B87" i="10"/>
  <c r="E87" i="10"/>
  <c r="B88" i="10"/>
  <c r="E88" i="10"/>
  <c r="B89" i="10"/>
  <c r="E89" i="10"/>
  <c r="B90" i="10"/>
  <c r="E90" i="10"/>
  <c r="B91" i="10"/>
  <c r="E91" i="10"/>
  <c r="B92" i="10"/>
  <c r="E92" i="10"/>
  <c r="B93" i="10"/>
  <c r="E93" i="10"/>
  <c r="B94" i="10"/>
  <c r="E94" i="10"/>
  <c r="B95" i="10"/>
  <c r="E95" i="10"/>
  <c r="B96" i="10"/>
  <c r="E96" i="10"/>
  <c r="B97" i="10"/>
  <c r="E97" i="10"/>
  <c r="B98" i="10"/>
  <c r="E98" i="10"/>
  <c r="B99" i="10"/>
  <c r="E99" i="10"/>
  <c r="B100" i="10"/>
  <c r="E100" i="10"/>
  <c r="B101" i="10"/>
  <c r="E101" i="10"/>
  <c r="B102" i="10"/>
  <c r="E102" i="10"/>
  <c r="B103" i="10"/>
  <c r="E103" i="10"/>
  <c r="B104" i="10"/>
  <c r="E104" i="10"/>
  <c r="B105" i="10"/>
  <c r="E105" i="10"/>
  <c r="B106" i="10"/>
  <c r="E106" i="10"/>
  <c r="B107" i="10"/>
  <c r="E107" i="10"/>
  <c r="B108" i="10"/>
  <c r="E108" i="10"/>
  <c r="B109" i="10"/>
  <c r="E109" i="10"/>
  <c r="B110" i="10"/>
  <c r="E110" i="10"/>
  <c r="B111" i="10"/>
  <c r="E111" i="10"/>
  <c r="B112" i="10"/>
  <c r="E112" i="10"/>
  <c r="B113" i="10"/>
  <c r="E113" i="10"/>
  <c r="B114" i="10"/>
  <c r="E114" i="10"/>
  <c r="B115" i="10"/>
  <c r="E115" i="10"/>
  <c r="B116" i="10"/>
  <c r="E116" i="10"/>
  <c r="E19" i="10"/>
  <c r="B19" i="10"/>
  <c r="E18" i="10"/>
  <c r="F18" i="10" s="1"/>
  <c r="B18" i="10"/>
  <c r="I17" i="10"/>
  <c r="J17" i="10" s="1"/>
  <c r="P17" i="10" s="1"/>
  <c r="G17" i="10"/>
  <c r="E17" i="10"/>
  <c r="C17" i="10"/>
  <c r="I18" i="10" l="1"/>
  <c r="J18" i="10" s="1"/>
  <c r="Q17" i="10"/>
  <c r="F19" i="10"/>
  <c r="F20" i="10" s="1"/>
  <c r="G18" i="10"/>
  <c r="K17" i="10"/>
  <c r="C18" i="10"/>
  <c r="J14" i="10"/>
  <c r="J13" i="10"/>
  <c r="J11" i="10"/>
  <c r="J10" i="10"/>
  <c r="J9" i="10"/>
  <c r="J8" i="10"/>
  <c r="J7" i="10"/>
  <c r="J5" i="10"/>
  <c r="J4" i="10"/>
  <c r="J3" i="10"/>
  <c r="J2" i="10"/>
  <c r="G19" i="10" l="1"/>
  <c r="G20" i="10" s="1"/>
  <c r="I19" i="10"/>
  <c r="J19" i="10" s="1"/>
  <c r="F21" i="10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F45" i="10" s="1"/>
  <c r="F46" i="10" s="1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F104" i="10" s="1"/>
  <c r="F105" i="10" s="1"/>
  <c r="F106" i="10" s="1"/>
  <c r="F107" i="10" s="1"/>
  <c r="F108" i="10" s="1"/>
  <c r="F109" i="10" s="1"/>
  <c r="F110" i="10" s="1"/>
  <c r="F111" i="10" s="1"/>
  <c r="F112" i="10" s="1"/>
  <c r="F113" i="10" s="1"/>
  <c r="F114" i="10" s="1"/>
  <c r="F115" i="10" s="1"/>
  <c r="F116" i="10" s="1"/>
  <c r="K18" i="10"/>
  <c r="C19" i="10"/>
  <c r="C20" i="10" s="1"/>
  <c r="C21" i="10" s="1"/>
  <c r="C22" i="10" s="1"/>
  <c r="P8" i="10"/>
  <c r="W17" i="10" s="1"/>
  <c r="Y17" i="10" s="1"/>
  <c r="P4" i="10"/>
  <c r="P18" i="10" s="1"/>
  <c r="I20" i="10" l="1"/>
  <c r="J20" i="10" s="1"/>
  <c r="O17" i="10"/>
  <c r="M17" i="10" s="1"/>
  <c r="N17" i="10" s="1"/>
  <c r="G21" i="10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112" i="10" s="1"/>
  <c r="G113" i="10" s="1"/>
  <c r="G114" i="10" s="1"/>
  <c r="G115" i="10" s="1"/>
  <c r="G116" i="10" s="1"/>
  <c r="C23" i="10"/>
  <c r="Z17" i="10"/>
  <c r="X17" i="10"/>
  <c r="Q18" i="10"/>
  <c r="K19" i="10"/>
  <c r="P19" i="10"/>
  <c r="W18" i="10"/>
  <c r="Z18" i="10" s="1"/>
  <c r="O18" i="10"/>
  <c r="M18" i="10" s="1"/>
  <c r="N18" i="10" s="1"/>
  <c r="Q1" i="9"/>
  <c r="I21" i="10" l="1"/>
  <c r="I22" i="10" s="1"/>
  <c r="R17" i="10"/>
  <c r="T17" i="10" s="1"/>
  <c r="P20" i="10"/>
  <c r="K20" i="10"/>
  <c r="C24" i="10"/>
  <c r="Q19" i="10"/>
  <c r="Y18" i="10"/>
  <c r="W19" i="10"/>
  <c r="Z19" i="10" s="1"/>
  <c r="O19" i="10"/>
  <c r="M19" i="10" s="1"/>
  <c r="N19" i="10" s="1"/>
  <c r="X18" i="10"/>
  <c r="AC17" i="10"/>
  <c r="AB17" i="10"/>
  <c r="R18" i="10"/>
  <c r="A11" i="13"/>
  <c r="A12" i="13" s="1"/>
  <c r="A13" i="13" s="1"/>
  <c r="J21" i="10" l="1"/>
  <c r="J22" i="10" s="1"/>
  <c r="AD17" i="10"/>
  <c r="AE17" i="10" s="1"/>
  <c r="X19" i="10"/>
  <c r="AB19" i="10" s="1"/>
  <c r="AD19" i="10" s="1"/>
  <c r="AE19" i="10" s="1"/>
  <c r="Q20" i="10"/>
  <c r="C25" i="10"/>
  <c r="W20" i="10"/>
  <c r="Z20" i="10" s="1"/>
  <c r="O20" i="10"/>
  <c r="M20" i="10" s="1"/>
  <c r="N20" i="10" s="1"/>
  <c r="I23" i="10"/>
  <c r="AB18" i="10"/>
  <c r="AD18" i="10" s="1"/>
  <c r="AE18" i="10" s="1"/>
  <c r="AC18" i="10"/>
  <c r="T18" i="10"/>
  <c r="U18" i="10" s="1"/>
  <c r="S18" i="10"/>
  <c r="Y19" i="10"/>
  <c r="R19" i="10"/>
  <c r="A14" i="13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M5" i="10"/>
  <c r="K21" i="10" l="1"/>
  <c r="K22" i="10" s="1"/>
  <c r="P21" i="10"/>
  <c r="Q21" i="10" s="1"/>
  <c r="AC19" i="10"/>
  <c r="I24" i="10"/>
  <c r="J23" i="10"/>
  <c r="Y20" i="10"/>
  <c r="C26" i="10"/>
  <c r="X20" i="10"/>
  <c r="R20" i="10"/>
  <c r="T19" i="10"/>
  <c r="U19" i="10" s="1"/>
  <c r="S19" i="10"/>
  <c r="O21" i="10" l="1"/>
  <c r="M21" i="10" s="1"/>
  <c r="N21" i="10" s="1"/>
  <c r="W21" i="10"/>
  <c r="Z21" i="10" s="1"/>
  <c r="P22" i="10"/>
  <c r="Q22" i="10" s="1"/>
  <c r="S20" i="10"/>
  <c r="T20" i="10"/>
  <c r="U20" i="10" s="1"/>
  <c r="W22" i="10"/>
  <c r="Z22" i="10" s="1"/>
  <c r="O22" i="10"/>
  <c r="M22" i="10" s="1"/>
  <c r="N22" i="10" s="1"/>
  <c r="K23" i="10"/>
  <c r="AB20" i="10"/>
  <c r="AC20" i="10"/>
  <c r="C27" i="10"/>
  <c r="I25" i="10"/>
  <c r="J24" i="10"/>
  <c r="P23" i="10" l="1"/>
  <c r="Q23" i="10" s="1"/>
  <c r="Y21" i="10"/>
  <c r="X21" i="10"/>
  <c r="AB21" i="10" s="1"/>
  <c r="AD21" i="10" s="1"/>
  <c r="AE21" i="10" s="1"/>
  <c r="R21" i="10"/>
  <c r="T21" i="10" s="1"/>
  <c r="U21" i="10" s="1"/>
  <c r="AD20" i="10"/>
  <c r="AE20" i="10" s="1"/>
  <c r="Y22" i="10"/>
  <c r="X22" i="10"/>
  <c r="AB22" i="10" s="1"/>
  <c r="AD22" i="10" s="1"/>
  <c r="AE22" i="10" s="1"/>
  <c r="R22" i="10"/>
  <c r="T22" i="10" s="1"/>
  <c r="U22" i="10" s="1"/>
  <c r="W23" i="10"/>
  <c r="Z23" i="10" s="1"/>
  <c r="O23" i="10"/>
  <c r="M23" i="10" s="1"/>
  <c r="N23" i="10" s="1"/>
  <c r="K24" i="10"/>
  <c r="I26" i="10"/>
  <c r="J25" i="10"/>
  <c r="C28" i="10"/>
  <c r="P24" i="10" l="1"/>
  <c r="Q24" i="10" s="1"/>
  <c r="AC21" i="10"/>
  <c r="S21" i="10"/>
  <c r="AC22" i="10"/>
  <c r="R23" i="10"/>
  <c r="S23" i="10" s="1"/>
  <c r="S22" i="10"/>
  <c r="Y23" i="10"/>
  <c r="X23" i="10"/>
  <c r="AB23" i="10" s="1"/>
  <c r="AD23" i="10" s="1"/>
  <c r="AE23" i="10" s="1"/>
  <c r="I27" i="10"/>
  <c r="J26" i="10"/>
  <c r="C29" i="10"/>
  <c r="W24" i="10"/>
  <c r="Z24" i="10" s="1"/>
  <c r="O24" i="10"/>
  <c r="M24" i="10" s="1"/>
  <c r="N24" i="10" s="1"/>
  <c r="K25" i="10"/>
  <c r="P25" i="10" l="1"/>
  <c r="Q25" i="10" s="1"/>
  <c r="T23" i="10"/>
  <c r="U23" i="10" s="1"/>
  <c r="AC23" i="10"/>
  <c r="Y24" i="10"/>
  <c r="W25" i="10"/>
  <c r="Z25" i="10" s="1"/>
  <c r="O25" i="10"/>
  <c r="M25" i="10" s="1"/>
  <c r="N25" i="10" s="1"/>
  <c r="K26" i="10"/>
  <c r="C30" i="10"/>
  <c r="X24" i="10"/>
  <c r="R24" i="10"/>
  <c r="I28" i="10"/>
  <c r="J27" i="10"/>
  <c r="P26" i="10" l="1"/>
  <c r="P27" i="10" s="1"/>
  <c r="Y25" i="10"/>
  <c r="X25" i="10"/>
  <c r="AB25" i="10" s="1"/>
  <c r="AD25" i="10" s="1"/>
  <c r="AE25" i="10" s="1"/>
  <c r="C31" i="10"/>
  <c r="AB24" i="10"/>
  <c r="AD24" i="10" s="1"/>
  <c r="AE24" i="10" s="1"/>
  <c r="AC24" i="10"/>
  <c r="I29" i="10"/>
  <c r="J28" i="10"/>
  <c r="S24" i="10"/>
  <c r="T24" i="10"/>
  <c r="U24" i="10" s="1"/>
  <c r="R25" i="10"/>
  <c r="W26" i="10"/>
  <c r="Z26" i="10" s="1"/>
  <c r="O26" i="10"/>
  <c r="M26" i="10" s="1"/>
  <c r="N26" i="10" s="1"/>
  <c r="K27" i="10"/>
  <c r="Q26" i="10" l="1"/>
  <c r="AC25" i="10"/>
  <c r="S25" i="10"/>
  <c r="T25" i="10"/>
  <c r="U25" i="10" s="1"/>
  <c r="Q27" i="10"/>
  <c r="X26" i="10"/>
  <c r="C32" i="10"/>
  <c r="W27" i="10"/>
  <c r="Z27" i="10" s="1"/>
  <c r="O27" i="10"/>
  <c r="M27" i="10" s="1"/>
  <c r="N27" i="10" s="1"/>
  <c r="P28" i="10"/>
  <c r="K28" i="10"/>
  <c r="Y26" i="10"/>
  <c r="R26" i="10"/>
  <c r="I30" i="10"/>
  <c r="J29" i="10"/>
  <c r="X27" i="10" l="1"/>
  <c r="AC27" i="10" s="1"/>
  <c r="AB26" i="10"/>
  <c r="AD26" i="10" s="1"/>
  <c r="AE26" i="10" s="1"/>
  <c r="AC26" i="10"/>
  <c r="R27" i="10"/>
  <c r="Q28" i="10"/>
  <c r="I31" i="10"/>
  <c r="J30" i="10"/>
  <c r="S26" i="10"/>
  <c r="T26" i="10"/>
  <c r="U26" i="10" s="1"/>
  <c r="W28" i="10"/>
  <c r="Z28" i="10" s="1"/>
  <c r="O28" i="10"/>
  <c r="M28" i="10" s="1"/>
  <c r="N28" i="10" s="1"/>
  <c r="P29" i="10"/>
  <c r="K29" i="10"/>
  <c r="C33" i="10"/>
  <c r="Y27" i="10"/>
  <c r="AB27" i="10" l="1"/>
  <c r="AD27" i="10" s="1"/>
  <c r="AE27" i="10" s="1"/>
  <c r="R28" i="10"/>
  <c r="T28" i="10" s="1"/>
  <c r="U28" i="10" s="1"/>
  <c r="S27" i="10"/>
  <c r="T27" i="10"/>
  <c r="U27" i="10" s="1"/>
  <c r="Q29" i="10"/>
  <c r="I32" i="10"/>
  <c r="J31" i="10"/>
  <c r="Y28" i="10"/>
  <c r="C34" i="10"/>
  <c r="W29" i="10"/>
  <c r="Z29" i="10" s="1"/>
  <c r="O29" i="10"/>
  <c r="M29" i="10" s="1"/>
  <c r="N29" i="10" s="1"/>
  <c r="P30" i="10"/>
  <c r="K30" i="10"/>
  <c r="X28" i="10"/>
  <c r="S28" i="10" l="1"/>
  <c r="X29" i="10"/>
  <c r="AC29" i="10" s="1"/>
  <c r="R29" i="10"/>
  <c r="AB28" i="10"/>
  <c r="AD28" i="10" s="1"/>
  <c r="AE28" i="10" s="1"/>
  <c r="AC28" i="10"/>
  <c r="Q30" i="10"/>
  <c r="W30" i="10"/>
  <c r="Z30" i="10" s="1"/>
  <c r="O30" i="10"/>
  <c r="M30" i="10" s="1"/>
  <c r="N30" i="10" s="1"/>
  <c r="P31" i="10"/>
  <c r="K31" i="10"/>
  <c r="C35" i="10"/>
  <c r="I33" i="10"/>
  <c r="J32" i="10"/>
  <c r="Y29" i="10"/>
  <c r="AB29" i="10" l="1"/>
  <c r="AD29" i="10" s="1"/>
  <c r="AE29" i="10" s="1"/>
  <c r="R30" i="10"/>
  <c r="T30" i="10" s="1"/>
  <c r="U30" i="10" s="1"/>
  <c r="Q31" i="10"/>
  <c r="J33" i="10"/>
  <c r="I34" i="10"/>
  <c r="Y30" i="10"/>
  <c r="C36" i="10"/>
  <c r="W31" i="10"/>
  <c r="Z31" i="10" s="1"/>
  <c r="O31" i="10"/>
  <c r="M31" i="10" s="1"/>
  <c r="N31" i="10" s="1"/>
  <c r="K32" i="10"/>
  <c r="P32" i="10"/>
  <c r="X30" i="10"/>
  <c r="S29" i="10"/>
  <c r="T29" i="10"/>
  <c r="U29" i="10" s="1"/>
  <c r="S30" i="10" l="1"/>
  <c r="AB30" i="10"/>
  <c r="AD30" i="10" s="1"/>
  <c r="AE30" i="10" s="1"/>
  <c r="AC30" i="10"/>
  <c r="Q32" i="10"/>
  <c r="C37" i="10"/>
  <c r="Y31" i="10"/>
  <c r="W32" i="10"/>
  <c r="Z32" i="10" s="1"/>
  <c r="O32" i="10"/>
  <c r="M32" i="10" s="1"/>
  <c r="N32" i="10" s="1"/>
  <c r="K33" i="10"/>
  <c r="P33" i="10"/>
  <c r="I35" i="10"/>
  <c r="J34" i="10"/>
  <c r="X31" i="10"/>
  <c r="AB31" i="10" s="1"/>
  <c r="R31" i="10"/>
  <c r="X32" i="10" l="1"/>
  <c r="AB32" i="10" s="1"/>
  <c r="AD32" i="10" s="1"/>
  <c r="AE32" i="10" s="1"/>
  <c r="Y32" i="10"/>
  <c r="AD31" i="10"/>
  <c r="AE31" i="10" s="1"/>
  <c r="AC31" i="10"/>
  <c r="R32" i="10"/>
  <c r="W33" i="10"/>
  <c r="Z33" i="10" s="1"/>
  <c r="O33" i="10"/>
  <c r="M33" i="10" s="1"/>
  <c r="N33" i="10" s="1"/>
  <c r="P34" i="10"/>
  <c r="K34" i="10"/>
  <c r="C38" i="10"/>
  <c r="I36" i="10"/>
  <c r="J35" i="10"/>
  <c r="S31" i="10"/>
  <c r="T31" i="10"/>
  <c r="U31" i="10" s="1"/>
  <c r="Q33" i="10"/>
  <c r="AC32" i="10" l="1"/>
  <c r="R33" i="10"/>
  <c r="S33" i="10" s="1"/>
  <c r="W34" i="10"/>
  <c r="Z34" i="10" s="1"/>
  <c r="O34" i="10"/>
  <c r="M34" i="10" s="1"/>
  <c r="N34" i="10" s="1"/>
  <c r="P35" i="10"/>
  <c r="K35" i="10"/>
  <c r="S32" i="10"/>
  <c r="T32" i="10"/>
  <c r="U32" i="10" s="1"/>
  <c r="Y33" i="10"/>
  <c r="Q34" i="10"/>
  <c r="I37" i="10"/>
  <c r="J36" i="10"/>
  <c r="X33" i="10"/>
  <c r="C39" i="10"/>
  <c r="X34" i="10" l="1"/>
  <c r="AB34" i="10" s="1"/>
  <c r="AD34" i="10" s="1"/>
  <c r="AE34" i="10" s="1"/>
  <c r="Y34" i="10"/>
  <c r="T33" i="10"/>
  <c r="U33" i="10" s="1"/>
  <c r="C40" i="10"/>
  <c r="I38" i="10"/>
  <c r="J37" i="10"/>
  <c r="R34" i="10"/>
  <c r="W35" i="10"/>
  <c r="Z35" i="10" s="1"/>
  <c r="O35" i="10"/>
  <c r="M35" i="10" s="1"/>
  <c r="N35" i="10" s="1"/>
  <c r="P36" i="10"/>
  <c r="K36" i="10"/>
  <c r="AB33" i="10"/>
  <c r="AD33" i="10" s="1"/>
  <c r="AE33" i="10" s="1"/>
  <c r="AC33" i="10"/>
  <c r="Q35" i="10"/>
  <c r="AC34" i="10" l="1"/>
  <c r="Y35" i="10"/>
  <c r="X35" i="10"/>
  <c r="W36" i="10"/>
  <c r="Z36" i="10" s="1"/>
  <c r="O36" i="10"/>
  <c r="M36" i="10" s="1"/>
  <c r="N36" i="10" s="1"/>
  <c r="P37" i="10"/>
  <c r="K37" i="10"/>
  <c r="T34" i="10"/>
  <c r="U34" i="10" s="1"/>
  <c r="S34" i="10"/>
  <c r="C41" i="10"/>
  <c r="R35" i="10"/>
  <c r="Q36" i="10"/>
  <c r="I39" i="10"/>
  <c r="J38" i="10"/>
  <c r="Z9" i="10"/>
  <c r="X36" i="10" l="1"/>
  <c r="AB36" i="10" s="1"/>
  <c r="AD36" i="10" s="1"/>
  <c r="AE36" i="10" s="1"/>
  <c r="Y36" i="10"/>
  <c r="R36" i="10"/>
  <c r="T36" i="10" s="1"/>
  <c r="U36" i="10" s="1"/>
  <c r="I40" i="10"/>
  <c r="J39" i="10"/>
  <c r="S35" i="10"/>
  <c r="T35" i="10"/>
  <c r="U35" i="10" s="1"/>
  <c r="Q37" i="10"/>
  <c r="C42" i="10"/>
  <c r="W37" i="10"/>
  <c r="Z37" i="10" s="1"/>
  <c r="O37" i="10"/>
  <c r="M37" i="10" s="1"/>
  <c r="N37" i="10" s="1"/>
  <c r="P38" i="10"/>
  <c r="K38" i="10"/>
  <c r="AB35" i="10"/>
  <c r="AD35" i="10" s="1"/>
  <c r="AE35" i="10" s="1"/>
  <c r="AC35" i="10"/>
  <c r="S36" i="10" l="1"/>
  <c r="AC36" i="10"/>
  <c r="X37" i="10"/>
  <c r="AB37" i="10" s="1"/>
  <c r="AD37" i="10" s="1"/>
  <c r="AE37" i="10" s="1"/>
  <c r="R37" i="10"/>
  <c r="I41" i="10"/>
  <c r="J40" i="10"/>
  <c r="W38" i="10"/>
  <c r="Z38" i="10" s="1"/>
  <c r="O38" i="10"/>
  <c r="M38" i="10" s="1"/>
  <c r="N38" i="10" s="1"/>
  <c r="P39" i="10"/>
  <c r="K39" i="10"/>
  <c r="C43" i="10"/>
  <c r="Q38" i="10"/>
  <c r="Y37" i="10"/>
  <c r="Y38" i="10" l="1"/>
  <c r="X38" i="10"/>
  <c r="AC38" i="10" s="1"/>
  <c r="AC37" i="10"/>
  <c r="R38" i="10"/>
  <c r="S38" i="10" s="1"/>
  <c r="Q39" i="10"/>
  <c r="C44" i="10"/>
  <c r="S37" i="10"/>
  <c r="T37" i="10"/>
  <c r="U37" i="10" s="1"/>
  <c r="I42" i="10"/>
  <c r="J41" i="10"/>
  <c r="W39" i="10"/>
  <c r="Z39" i="10" s="1"/>
  <c r="O39" i="10"/>
  <c r="M39" i="10" s="1"/>
  <c r="N39" i="10" s="1"/>
  <c r="P40" i="10"/>
  <c r="K40" i="10"/>
  <c r="AB38" i="10" l="1"/>
  <c r="AD38" i="10" s="1"/>
  <c r="AE38" i="10" s="1"/>
  <c r="T38" i="10"/>
  <c r="U38" i="10" s="1"/>
  <c r="I43" i="10"/>
  <c r="J42" i="10"/>
  <c r="Y39" i="10"/>
  <c r="W40" i="10"/>
  <c r="Z40" i="10" s="1"/>
  <c r="O40" i="10"/>
  <c r="M40" i="10" s="1"/>
  <c r="N40" i="10" s="1"/>
  <c r="P41" i="10"/>
  <c r="K41" i="10"/>
  <c r="C45" i="10"/>
  <c r="X39" i="10"/>
  <c r="Q40" i="10"/>
  <c r="R39" i="10"/>
  <c r="R40" i="10" l="1"/>
  <c r="S40" i="10" s="1"/>
  <c r="X40" i="10"/>
  <c r="AB40" i="10" s="1"/>
  <c r="AD40" i="10" s="1"/>
  <c r="AE40" i="10" s="1"/>
  <c r="W41" i="10"/>
  <c r="Z41" i="10" s="1"/>
  <c r="O41" i="10"/>
  <c r="M41" i="10" s="1"/>
  <c r="N41" i="10" s="1"/>
  <c r="P42" i="10"/>
  <c r="K42" i="10"/>
  <c r="AB39" i="10"/>
  <c r="AC39" i="10"/>
  <c r="Q41" i="10"/>
  <c r="S39" i="10"/>
  <c r="T39" i="10"/>
  <c r="U39" i="10" s="1"/>
  <c r="Y40" i="10"/>
  <c r="C46" i="10"/>
  <c r="I44" i="10"/>
  <c r="J43" i="10"/>
  <c r="R41" i="10" l="1"/>
  <c r="T41" i="10" s="1"/>
  <c r="U41" i="10" s="1"/>
  <c r="T40" i="10"/>
  <c r="U40" i="10" s="1"/>
  <c r="AC40" i="10"/>
  <c r="Y41" i="10"/>
  <c r="X41" i="10"/>
  <c r="AB41" i="10" s="1"/>
  <c r="AD41" i="10" s="1"/>
  <c r="AE41" i="10" s="1"/>
  <c r="Q42" i="10"/>
  <c r="W42" i="10"/>
  <c r="Z42" i="10" s="1"/>
  <c r="O42" i="10"/>
  <c r="M42" i="10" s="1"/>
  <c r="N42" i="10" s="1"/>
  <c r="P43" i="10"/>
  <c r="K43" i="10"/>
  <c r="C47" i="10"/>
  <c r="I45" i="10"/>
  <c r="J44" i="10"/>
  <c r="AD39" i="10"/>
  <c r="AE39" i="10" s="1"/>
  <c r="S41" i="10" l="1"/>
  <c r="AC41" i="10"/>
  <c r="Y42" i="10"/>
  <c r="I46" i="10"/>
  <c r="J45" i="10"/>
  <c r="Q43" i="10"/>
  <c r="C48" i="10"/>
  <c r="X42" i="10"/>
  <c r="W43" i="10"/>
  <c r="Z43" i="10" s="1"/>
  <c r="O43" i="10"/>
  <c r="M43" i="10" s="1"/>
  <c r="N43" i="10" s="1"/>
  <c r="P44" i="10"/>
  <c r="K44" i="10"/>
  <c r="R42" i="10"/>
  <c r="X43" i="10" l="1"/>
  <c r="AC43" i="10" s="1"/>
  <c r="Q44" i="10"/>
  <c r="R43" i="10"/>
  <c r="S42" i="10"/>
  <c r="T42" i="10"/>
  <c r="U42" i="10" s="1"/>
  <c r="C49" i="10"/>
  <c r="W44" i="10"/>
  <c r="Z44" i="10" s="1"/>
  <c r="O44" i="10"/>
  <c r="M44" i="10" s="1"/>
  <c r="N44" i="10" s="1"/>
  <c r="K45" i="10"/>
  <c r="P45" i="10"/>
  <c r="AB42" i="10"/>
  <c r="AC42" i="10"/>
  <c r="Y43" i="10"/>
  <c r="I47" i="10"/>
  <c r="J46" i="10"/>
  <c r="AB43" i="10" l="1"/>
  <c r="AD43" i="10" s="1"/>
  <c r="AE43" i="10" s="1"/>
  <c r="AD42" i="10"/>
  <c r="AE42" i="10" s="1"/>
  <c r="Q45" i="10"/>
  <c r="S43" i="10"/>
  <c r="T43" i="10"/>
  <c r="U43" i="10" s="1"/>
  <c r="Y44" i="10"/>
  <c r="I48" i="10"/>
  <c r="J47" i="10"/>
  <c r="W45" i="10"/>
  <c r="Z45" i="10" s="1"/>
  <c r="O45" i="10"/>
  <c r="M45" i="10" s="1"/>
  <c r="N45" i="10" s="1"/>
  <c r="K46" i="10"/>
  <c r="P46" i="10"/>
  <c r="C50" i="10"/>
  <c r="X44" i="10"/>
  <c r="R44" i="10"/>
  <c r="C51" i="10" l="1"/>
  <c r="S44" i="10"/>
  <c r="T44" i="10"/>
  <c r="U44" i="10" s="1"/>
  <c r="Q46" i="10"/>
  <c r="R45" i="10"/>
  <c r="X45" i="10"/>
  <c r="AB44" i="10"/>
  <c r="AC44" i="10"/>
  <c r="W46" i="10"/>
  <c r="Z46" i="10" s="1"/>
  <c r="O46" i="10"/>
  <c r="M46" i="10" s="1"/>
  <c r="N46" i="10" s="1"/>
  <c r="K47" i="10"/>
  <c r="P47" i="10"/>
  <c r="I49" i="10"/>
  <c r="J48" i="10"/>
  <c r="Y45" i="10"/>
  <c r="O47" i="10" l="1"/>
  <c r="M47" i="10" s="1"/>
  <c r="N47" i="10" s="1"/>
  <c r="P48" i="10"/>
  <c r="K48" i="10"/>
  <c r="W47" i="10"/>
  <c r="Z47" i="10" s="1"/>
  <c r="AD44" i="10"/>
  <c r="AE44" i="10" s="1"/>
  <c r="Y46" i="10"/>
  <c r="Q47" i="10"/>
  <c r="AB45" i="10"/>
  <c r="AD45" i="10" s="1"/>
  <c r="AE45" i="10" s="1"/>
  <c r="AC45" i="10"/>
  <c r="X46" i="10"/>
  <c r="I50" i="10"/>
  <c r="J49" i="10"/>
  <c r="S45" i="10"/>
  <c r="T45" i="10"/>
  <c r="U45" i="10" s="1"/>
  <c r="R46" i="10"/>
  <c r="C52" i="10"/>
  <c r="R47" i="10" l="1"/>
  <c r="T47" i="10" s="1"/>
  <c r="U47" i="10" s="1"/>
  <c r="S46" i="10"/>
  <c r="T46" i="10"/>
  <c r="U46" i="10" s="1"/>
  <c r="J50" i="10"/>
  <c r="I51" i="10"/>
  <c r="Y47" i="10"/>
  <c r="O48" i="10"/>
  <c r="M48" i="10" s="1"/>
  <c r="N48" i="10" s="1"/>
  <c r="K49" i="10"/>
  <c r="W48" i="10"/>
  <c r="Z48" i="10" s="1"/>
  <c r="P49" i="10"/>
  <c r="AB46" i="10"/>
  <c r="AD46" i="10" s="1"/>
  <c r="AE46" i="10" s="1"/>
  <c r="AC46" i="10"/>
  <c r="Q48" i="10"/>
  <c r="C53" i="10"/>
  <c r="X47" i="10"/>
  <c r="S47" i="10" l="1"/>
  <c r="R48" i="10"/>
  <c r="S48" i="10" s="1"/>
  <c r="X48" i="10"/>
  <c r="AB48" i="10" s="1"/>
  <c r="AD48" i="10" s="1"/>
  <c r="AE48" i="10" s="1"/>
  <c r="Y48" i="10"/>
  <c r="AC47" i="10"/>
  <c r="AB47" i="10"/>
  <c r="AD47" i="10" s="1"/>
  <c r="AE47" i="10" s="1"/>
  <c r="I52" i="10"/>
  <c r="J51" i="10"/>
  <c r="C54" i="10"/>
  <c r="Q49" i="10"/>
  <c r="O49" i="10"/>
  <c r="M49" i="10" s="1"/>
  <c r="N49" i="10" s="1"/>
  <c r="P50" i="10"/>
  <c r="K50" i="10"/>
  <c r="W49" i="10"/>
  <c r="Z49" i="10" s="1"/>
  <c r="AC48" i="10" l="1"/>
  <c r="T48" i="10"/>
  <c r="U48" i="10" s="1"/>
  <c r="O50" i="10"/>
  <c r="M50" i="10" s="1"/>
  <c r="N50" i="10" s="1"/>
  <c r="K51" i="10"/>
  <c r="W50" i="10"/>
  <c r="Z50" i="10" s="1"/>
  <c r="P51" i="10"/>
  <c r="Y49" i="10"/>
  <c r="Q50" i="10"/>
  <c r="R49" i="10"/>
  <c r="C55" i="10"/>
  <c r="X49" i="10"/>
  <c r="I53" i="10"/>
  <c r="J52" i="10"/>
  <c r="R50" i="10" l="1"/>
  <c r="T50" i="10" s="1"/>
  <c r="U50" i="10" s="1"/>
  <c r="Y50" i="10"/>
  <c r="X50" i="10"/>
  <c r="AB50" i="10" s="1"/>
  <c r="AD50" i="10" s="1"/>
  <c r="AE50" i="10" s="1"/>
  <c r="C56" i="10"/>
  <c r="Q51" i="10"/>
  <c r="I54" i="10"/>
  <c r="J53" i="10"/>
  <c r="S49" i="10"/>
  <c r="T49" i="10"/>
  <c r="U49" i="10" s="1"/>
  <c r="K52" i="10"/>
  <c r="W51" i="10"/>
  <c r="Z51" i="10" s="1"/>
  <c r="O51" i="10"/>
  <c r="M51" i="10" s="1"/>
  <c r="N51" i="10" s="1"/>
  <c r="P52" i="10"/>
  <c r="AC49" i="10"/>
  <c r="AB49" i="10"/>
  <c r="AD49" i="10" s="1"/>
  <c r="AE49" i="10" s="1"/>
  <c r="S50" i="10" l="1"/>
  <c r="AC50" i="10"/>
  <c r="Y51" i="10"/>
  <c r="Q52" i="10"/>
  <c r="X51" i="10"/>
  <c r="R51" i="10"/>
  <c r="C57" i="10"/>
  <c r="K53" i="10"/>
  <c r="W52" i="10"/>
  <c r="Z52" i="10" s="1"/>
  <c r="O52" i="10"/>
  <c r="M52" i="10" s="1"/>
  <c r="N52" i="10" s="1"/>
  <c r="P53" i="10"/>
  <c r="I55" i="10"/>
  <c r="J54" i="10"/>
  <c r="Y52" i="10" l="1"/>
  <c r="C58" i="10"/>
  <c r="X52" i="10"/>
  <c r="Q53" i="10"/>
  <c r="S51" i="10"/>
  <c r="T51" i="10"/>
  <c r="U51" i="10" s="1"/>
  <c r="R52" i="10"/>
  <c r="I56" i="10"/>
  <c r="J55" i="10"/>
  <c r="K54" i="10"/>
  <c r="W53" i="10"/>
  <c r="Z53" i="10" s="1"/>
  <c r="O53" i="10"/>
  <c r="M53" i="10" s="1"/>
  <c r="N53" i="10" s="1"/>
  <c r="P54" i="10"/>
  <c r="AB51" i="10"/>
  <c r="AD51" i="10" s="1"/>
  <c r="AE51" i="10" s="1"/>
  <c r="AC51" i="10"/>
  <c r="I57" i="10" l="1"/>
  <c r="J56" i="10"/>
  <c r="Y53" i="10"/>
  <c r="AB52" i="10"/>
  <c r="AD52" i="10" s="1"/>
  <c r="AE52" i="10" s="1"/>
  <c r="AC52" i="10"/>
  <c r="Q54" i="10"/>
  <c r="S52" i="10"/>
  <c r="T52" i="10"/>
  <c r="U52" i="10" s="1"/>
  <c r="X53" i="10"/>
  <c r="C59" i="10"/>
  <c r="K55" i="10"/>
  <c r="W54" i="10"/>
  <c r="Z54" i="10" s="1"/>
  <c r="O54" i="10"/>
  <c r="M54" i="10" s="1"/>
  <c r="N54" i="10" s="1"/>
  <c r="P55" i="10"/>
  <c r="R53" i="10"/>
  <c r="X54" i="10" l="1"/>
  <c r="K56" i="10"/>
  <c r="W55" i="10"/>
  <c r="Z55" i="10" s="1"/>
  <c r="O55" i="10"/>
  <c r="M55" i="10" s="1"/>
  <c r="N55" i="10" s="1"/>
  <c r="P56" i="10"/>
  <c r="R54" i="10"/>
  <c r="AB53" i="10"/>
  <c r="AD53" i="10" s="1"/>
  <c r="AE53" i="10" s="1"/>
  <c r="AC53" i="10"/>
  <c r="S53" i="10"/>
  <c r="T53" i="10"/>
  <c r="U53" i="10" s="1"/>
  <c r="Q55" i="10"/>
  <c r="C60" i="10"/>
  <c r="Y54" i="10"/>
  <c r="I58" i="10"/>
  <c r="J57" i="10"/>
  <c r="R55" i="10" l="1"/>
  <c r="T55" i="10" s="1"/>
  <c r="U55" i="10" s="1"/>
  <c r="X55" i="10"/>
  <c r="AC55" i="10" s="1"/>
  <c r="Y55" i="10"/>
  <c r="C61" i="10"/>
  <c r="J58" i="10"/>
  <c r="I59" i="10"/>
  <c r="S54" i="10"/>
  <c r="T54" i="10"/>
  <c r="U54" i="10" s="1"/>
  <c r="K57" i="10"/>
  <c r="W56" i="10"/>
  <c r="Z56" i="10" s="1"/>
  <c r="O56" i="10"/>
  <c r="M56" i="10" s="1"/>
  <c r="N56" i="10" s="1"/>
  <c r="P57" i="10"/>
  <c r="Q56" i="10"/>
  <c r="AB54" i="10"/>
  <c r="AD54" i="10" s="1"/>
  <c r="AE54" i="10" s="1"/>
  <c r="AC54" i="10"/>
  <c r="AB55" i="10" l="1"/>
  <c r="AD55" i="10" s="1"/>
  <c r="AE55" i="10" s="1"/>
  <c r="S55" i="10"/>
  <c r="Y56" i="10"/>
  <c r="X56" i="10"/>
  <c r="AC56" i="10" s="1"/>
  <c r="R56" i="10"/>
  <c r="S56" i="10" s="1"/>
  <c r="I60" i="10"/>
  <c r="J59" i="10"/>
  <c r="C62" i="10"/>
  <c r="Q57" i="10"/>
  <c r="K58" i="10"/>
  <c r="W57" i="10"/>
  <c r="Z57" i="10" s="1"/>
  <c r="O57" i="10"/>
  <c r="M57" i="10" s="1"/>
  <c r="N57" i="10" s="1"/>
  <c r="P58" i="10"/>
  <c r="AB56" i="10" l="1"/>
  <c r="AD56" i="10" s="1"/>
  <c r="AE56" i="10" s="1"/>
  <c r="T56" i="10"/>
  <c r="U56" i="10" s="1"/>
  <c r="R57" i="10"/>
  <c r="S57" i="10" s="1"/>
  <c r="I61" i="10"/>
  <c r="J60" i="10"/>
  <c r="C63" i="10"/>
  <c r="Q58" i="10"/>
  <c r="Y57" i="10"/>
  <c r="K59" i="10"/>
  <c r="W58" i="10"/>
  <c r="Z58" i="10" s="1"/>
  <c r="O58" i="10"/>
  <c r="M58" i="10" s="1"/>
  <c r="N58" i="10" s="1"/>
  <c r="P59" i="10"/>
  <c r="X57" i="10"/>
  <c r="T57" i="10" l="1"/>
  <c r="U57" i="10" s="1"/>
  <c r="R58" i="10"/>
  <c r="S58" i="10" s="1"/>
  <c r="Q59" i="10"/>
  <c r="W59" i="10"/>
  <c r="Z59" i="10" s="1"/>
  <c r="P60" i="10"/>
  <c r="O59" i="10"/>
  <c r="M59" i="10" s="1"/>
  <c r="N59" i="10" s="1"/>
  <c r="K60" i="10"/>
  <c r="Y58" i="10"/>
  <c r="C64" i="10"/>
  <c r="AB57" i="10"/>
  <c r="AD57" i="10" s="1"/>
  <c r="AE57" i="10" s="1"/>
  <c r="AC57" i="10"/>
  <c r="X58" i="10"/>
  <c r="I62" i="10"/>
  <c r="J61" i="10"/>
  <c r="T58" i="10" l="1"/>
  <c r="U58" i="10" s="1"/>
  <c r="R59" i="10"/>
  <c r="T59" i="10" s="1"/>
  <c r="U59" i="10" s="1"/>
  <c r="Q60" i="10"/>
  <c r="W60" i="10"/>
  <c r="Z60" i="10" s="1"/>
  <c r="O60" i="10"/>
  <c r="M60" i="10" s="1"/>
  <c r="N60" i="10" s="1"/>
  <c r="P61" i="10"/>
  <c r="K61" i="10"/>
  <c r="X59" i="10"/>
  <c r="AB58" i="10"/>
  <c r="AD58" i="10" s="1"/>
  <c r="AE58" i="10" s="1"/>
  <c r="AC58" i="10"/>
  <c r="I63" i="10"/>
  <c r="J62" i="10"/>
  <c r="C65" i="10"/>
  <c r="Y59" i="10"/>
  <c r="S59" i="10" l="1"/>
  <c r="AB59" i="10"/>
  <c r="AD59" i="10" s="1"/>
  <c r="AE59" i="10" s="1"/>
  <c r="AC59" i="10"/>
  <c r="Y60" i="10"/>
  <c r="I64" i="10"/>
  <c r="J63" i="10"/>
  <c r="W61" i="10"/>
  <c r="Z61" i="10" s="1"/>
  <c r="O61" i="10"/>
  <c r="M61" i="10" s="1"/>
  <c r="N61" i="10" s="1"/>
  <c r="P62" i="10"/>
  <c r="K62" i="10"/>
  <c r="X60" i="10"/>
  <c r="C66" i="10"/>
  <c r="Q61" i="10"/>
  <c r="R60" i="10"/>
  <c r="Y61" i="10" l="1"/>
  <c r="X61" i="10"/>
  <c r="AB61" i="10" s="1"/>
  <c r="AD61" i="10" s="1"/>
  <c r="AE61" i="10" s="1"/>
  <c r="R61" i="10"/>
  <c r="S61" i="10" s="1"/>
  <c r="I65" i="10"/>
  <c r="J64" i="10"/>
  <c r="C67" i="10"/>
  <c r="AB60" i="10"/>
  <c r="AD60" i="10" s="1"/>
  <c r="AE60" i="10" s="1"/>
  <c r="AC60" i="10"/>
  <c r="Q62" i="10"/>
  <c r="S60" i="10"/>
  <c r="T60" i="10"/>
  <c r="U60" i="10" s="1"/>
  <c r="W62" i="10"/>
  <c r="Z62" i="10" s="1"/>
  <c r="O62" i="10"/>
  <c r="M62" i="10" s="1"/>
  <c r="N62" i="10" s="1"/>
  <c r="P63" i="10"/>
  <c r="K63" i="10"/>
  <c r="AC61" i="10" l="1"/>
  <c r="T61" i="10"/>
  <c r="U61" i="10" s="1"/>
  <c r="Q63" i="10"/>
  <c r="Y62" i="10"/>
  <c r="C68" i="10"/>
  <c r="X62" i="10"/>
  <c r="W63" i="10"/>
  <c r="Z63" i="10" s="1"/>
  <c r="O63" i="10"/>
  <c r="M63" i="10" s="1"/>
  <c r="N63" i="10" s="1"/>
  <c r="P64" i="10"/>
  <c r="K64" i="10"/>
  <c r="R62" i="10"/>
  <c r="I66" i="10"/>
  <c r="J65" i="10"/>
  <c r="Y63" i="10" l="1"/>
  <c r="AB62" i="10"/>
  <c r="AD62" i="10" s="1"/>
  <c r="AE62" i="10" s="1"/>
  <c r="AC62" i="10"/>
  <c r="C69" i="10"/>
  <c r="W64" i="10"/>
  <c r="Z64" i="10" s="1"/>
  <c r="O64" i="10"/>
  <c r="M64" i="10" s="1"/>
  <c r="N64" i="10" s="1"/>
  <c r="P65" i="10"/>
  <c r="K65" i="10"/>
  <c r="Q64" i="10"/>
  <c r="X63" i="10"/>
  <c r="I67" i="10"/>
  <c r="J66" i="10"/>
  <c r="S62" i="10"/>
  <c r="T62" i="10"/>
  <c r="U62" i="10" s="1"/>
  <c r="R63" i="10"/>
  <c r="X64" i="10" l="1"/>
  <c r="AB64" i="10" s="1"/>
  <c r="AD64" i="10" s="1"/>
  <c r="AE64" i="10" s="1"/>
  <c r="Y64" i="10"/>
  <c r="R64" i="10"/>
  <c r="S64" i="10" s="1"/>
  <c r="W65" i="10"/>
  <c r="Z65" i="10" s="1"/>
  <c r="O65" i="10"/>
  <c r="M65" i="10" s="1"/>
  <c r="N65" i="10" s="1"/>
  <c r="P66" i="10"/>
  <c r="K66" i="10"/>
  <c r="Q65" i="10"/>
  <c r="S63" i="10"/>
  <c r="T63" i="10"/>
  <c r="U63" i="10" s="1"/>
  <c r="I68" i="10"/>
  <c r="J67" i="10"/>
  <c r="C70" i="10"/>
  <c r="AB63" i="10"/>
  <c r="AD63" i="10" s="1"/>
  <c r="AE63" i="10" s="1"/>
  <c r="AC63" i="10"/>
  <c r="AC64" i="10" l="1"/>
  <c r="T64" i="10"/>
  <c r="U64" i="10" s="1"/>
  <c r="Y65" i="10"/>
  <c r="R65" i="10"/>
  <c r="S65" i="10" s="1"/>
  <c r="X65" i="10"/>
  <c r="AC65" i="10" s="1"/>
  <c r="W66" i="10"/>
  <c r="Z66" i="10" s="1"/>
  <c r="O66" i="10"/>
  <c r="M66" i="10" s="1"/>
  <c r="N66" i="10" s="1"/>
  <c r="P67" i="10"/>
  <c r="K67" i="10"/>
  <c r="I69" i="10"/>
  <c r="J68" i="10"/>
  <c r="Q66" i="10"/>
  <c r="C71" i="10"/>
  <c r="T65" i="10" l="1"/>
  <c r="U65" i="10" s="1"/>
  <c r="AB65" i="10"/>
  <c r="AD65" i="10" s="1"/>
  <c r="AE65" i="10" s="1"/>
  <c r="Y66" i="10"/>
  <c r="X66" i="10"/>
  <c r="AC66" i="10" s="1"/>
  <c r="R66" i="10"/>
  <c r="S66" i="10" s="1"/>
  <c r="Q67" i="10"/>
  <c r="C72" i="10"/>
  <c r="W67" i="10"/>
  <c r="Z67" i="10" s="1"/>
  <c r="O67" i="10"/>
  <c r="M67" i="10" s="1"/>
  <c r="N67" i="10" s="1"/>
  <c r="P68" i="10"/>
  <c r="K68" i="10"/>
  <c r="I70" i="10"/>
  <c r="J69" i="10"/>
  <c r="AB66" i="10" l="1"/>
  <c r="AD66" i="10" s="1"/>
  <c r="AE66" i="10" s="1"/>
  <c r="T66" i="10"/>
  <c r="U66" i="10" s="1"/>
  <c r="Y67" i="10"/>
  <c r="I71" i="10"/>
  <c r="J70" i="10"/>
  <c r="W68" i="10"/>
  <c r="Z68" i="10" s="1"/>
  <c r="O68" i="10"/>
  <c r="M68" i="10" s="1"/>
  <c r="N68" i="10" s="1"/>
  <c r="P69" i="10"/>
  <c r="K69" i="10"/>
  <c r="C73" i="10"/>
  <c r="X67" i="10"/>
  <c r="Q68" i="10"/>
  <c r="R67" i="10"/>
  <c r="R68" i="10" l="1"/>
  <c r="S68" i="10" s="1"/>
  <c r="X68" i="10"/>
  <c r="AB68" i="10" s="1"/>
  <c r="AD68" i="10" s="1"/>
  <c r="AE68" i="10" s="1"/>
  <c r="W69" i="10"/>
  <c r="Z69" i="10" s="1"/>
  <c r="O69" i="10"/>
  <c r="M69" i="10" s="1"/>
  <c r="N69" i="10" s="1"/>
  <c r="P70" i="10"/>
  <c r="K70" i="10"/>
  <c r="AB67" i="10"/>
  <c r="AD67" i="10" s="1"/>
  <c r="AE67" i="10" s="1"/>
  <c r="AC67" i="10"/>
  <c r="Q69" i="10"/>
  <c r="I72" i="10"/>
  <c r="J71" i="10"/>
  <c r="S67" i="10"/>
  <c r="T67" i="10"/>
  <c r="U67" i="10" s="1"/>
  <c r="Y68" i="10"/>
  <c r="C74" i="10"/>
  <c r="T68" i="10" l="1"/>
  <c r="U68" i="10" s="1"/>
  <c r="Y69" i="10"/>
  <c r="X69" i="10"/>
  <c r="AC69" i="10" s="1"/>
  <c r="AC68" i="10"/>
  <c r="R69" i="10"/>
  <c r="S69" i="10" s="1"/>
  <c r="I73" i="10"/>
  <c r="J72" i="10"/>
  <c r="Q70" i="10"/>
  <c r="W70" i="10"/>
  <c r="Z70" i="10" s="1"/>
  <c r="O70" i="10"/>
  <c r="M70" i="10" s="1"/>
  <c r="N70" i="10" s="1"/>
  <c r="P71" i="10"/>
  <c r="K71" i="10"/>
  <c r="C75" i="10"/>
  <c r="AB69" i="10" l="1"/>
  <c r="AD69" i="10" s="1"/>
  <c r="AE69" i="10" s="1"/>
  <c r="T69" i="10"/>
  <c r="U69" i="10" s="1"/>
  <c r="Y70" i="10"/>
  <c r="C76" i="10"/>
  <c r="W71" i="10"/>
  <c r="Z71" i="10" s="1"/>
  <c r="O71" i="10"/>
  <c r="M71" i="10" s="1"/>
  <c r="N71" i="10" s="1"/>
  <c r="P72" i="10"/>
  <c r="K72" i="10"/>
  <c r="X70" i="10"/>
  <c r="Q71" i="10"/>
  <c r="R70" i="10"/>
  <c r="I74" i="10"/>
  <c r="J73" i="10"/>
  <c r="R71" i="10" l="1"/>
  <c r="S71" i="10" s="1"/>
  <c r="Y71" i="10"/>
  <c r="W72" i="10"/>
  <c r="Z72" i="10" s="1"/>
  <c r="O72" i="10"/>
  <c r="M72" i="10" s="1"/>
  <c r="N72" i="10" s="1"/>
  <c r="P73" i="10"/>
  <c r="K73" i="10"/>
  <c r="C77" i="10"/>
  <c r="I75" i="10"/>
  <c r="J74" i="10"/>
  <c r="X71" i="10"/>
  <c r="Q72" i="10"/>
  <c r="AB70" i="10"/>
  <c r="AD70" i="10" s="1"/>
  <c r="AE70" i="10" s="1"/>
  <c r="AC70" i="10"/>
  <c r="S70" i="10"/>
  <c r="T70" i="10"/>
  <c r="U70" i="10" s="1"/>
  <c r="T71" i="10" l="1"/>
  <c r="U71" i="10" s="1"/>
  <c r="X72" i="10"/>
  <c r="AC72" i="10" s="1"/>
  <c r="Y72" i="10"/>
  <c r="R72" i="10"/>
  <c r="S72" i="10" s="1"/>
  <c r="I76" i="10"/>
  <c r="J75" i="10"/>
  <c r="C78" i="10"/>
  <c r="Q73" i="10"/>
  <c r="AB71" i="10"/>
  <c r="AD71" i="10" s="1"/>
  <c r="AE71" i="10" s="1"/>
  <c r="AC71" i="10"/>
  <c r="W73" i="10"/>
  <c r="Z73" i="10" s="1"/>
  <c r="O73" i="10"/>
  <c r="M73" i="10" s="1"/>
  <c r="N73" i="10" s="1"/>
  <c r="P74" i="10"/>
  <c r="K74" i="10"/>
  <c r="AB72" i="10" l="1"/>
  <c r="AD72" i="10" s="1"/>
  <c r="AE72" i="10" s="1"/>
  <c r="T72" i="10"/>
  <c r="U72" i="10" s="1"/>
  <c r="X73" i="10"/>
  <c r="AC73" i="10" s="1"/>
  <c r="R73" i="10"/>
  <c r="W74" i="10"/>
  <c r="Z74" i="10" s="1"/>
  <c r="O74" i="10"/>
  <c r="M74" i="10" s="1"/>
  <c r="N74" i="10" s="1"/>
  <c r="P75" i="10"/>
  <c r="K75" i="10"/>
  <c r="C79" i="10"/>
  <c r="Q74" i="10"/>
  <c r="Y73" i="10"/>
  <c r="I77" i="10"/>
  <c r="J76" i="10"/>
  <c r="Y74" i="10" l="1"/>
  <c r="AB73" i="10"/>
  <c r="AD73" i="10" s="1"/>
  <c r="AE73" i="10" s="1"/>
  <c r="R74" i="10"/>
  <c r="T74" i="10" s="1"/>
  <c r="U74" i="10" s="1"/>
  <c r="I78" i="10"/>
  <c r="J77" i="10"/>
  <c r="X74" i="10"/>
  <c r="W75" i="10"/>
  <c r="Z75" i="10" s="1"/>
  <c r="O75" i="10"/>
  <c r="M75" i="10" s="1"/>
  <c r="N75" i="10" s="1"/>
  <c r="P76" i="10"/>
  <c r="K76" i="10"/>
  <c r="Q75" i="10"/>
  <c r="C80" i="10"/>
  <c r="S73" i="10"/>
  <c r="T73" i="10"/>
  <c r="U73" i="10" s="1"/>
  <c r="S74" i="10" l="1"/>
  <c r="R75" i="10"/>
  <c r="T75" i="10" s="1"/>
  <c r="U75" i="10" s="1"/>
  <c r="C81" i="10"/>
  <c r="W76" i="10"/>
  <c r="Z76" i="10" s="1"/>
  <c r="O76" i="10"/>
  <c r="M76" i="10" s="1"/>
  <c r="N76" i="10" s="1"/>
  <c r="P77" i="10"/>
  <c r="K77" i="10"/>
  <c r="AB74" i="10"/>
  <c r="AD74" i="10" s="1"/>
  <c r="AE74" i="10" s="1"/>
  <c r="AC74" i="10"/>
  <c r="Y75" i="10"/>
  <c r="Q76" i="10"/>
  <c r="X75" i="10"/>
  <c r="I79" i="10"/>
  <c r="J78" i="10"/>
  <c r="X76" i="10" l="1"/>
  <c r="AB76" i="10" s="1"/>
  <c r="AD76" i="10" s="1"/>
  <c r="AE76" i="10" s="1"/>
  <c r="S75" i="10"/>
  <c r="Y76" i="10"/>
  <c r="W77" i="10"/>
  <c r="Z77" i="10" s="1"/>
  <c r="O77" i="10"/>
  <c r="M77" i="10" s="1"/>
  <c r="N77" i="10" s="1"/>
  <c r="P78" i="10"/>
  <c r="K78" i="10"/>
  <c r="C82" i="10"/>
  <c r="AB75" i="10"/>
  <c r="AD75" i="10" s="1"/>
  <c r="AE75" i="10" s="1"/>
  <c r="AC75" i="10"/>
  <c r="R76" i="10"/>
  <c r="I80" i="10"/>
  <c r="J79" i="10"/>
  <c r="Q77" i="10"/>
  <c r="AC76" i="10" l="1"/>
  <c r="Y77" i="10"/>
  <c r="X77" i="10"/>
  <c r="AC77" i="10" s="1"/>
  <c r="R77" i="10"/>
  <c r="S77" i="10" s="1"/>
  <c r="W78" i="10"/>
  <c r="Z78" i="10" s="1"/>
  <c r="O78" i="10"/>
  <c r="M78" i="10" s="1"/>
  <c r="N78" i="10" s="1"/>
  <c r="P79" i="10"/>
  <c r="K79" i="10"/>
  <c r="Q78" i="10"/>
  <c r="I81" i="10"/>
  <c r="J80" i="10"/>
  <c r="C83" i="10"/>
  <c r="S76" i="10"/>
  <c r="T76" i="10"/>
  <c r="U76" i="10" s="1"/>
  <c r="AB77" i="10" l="1"/>
  <c r="AD77" i="10" s="1"/>
  <c r="AE77" i="10" s="1"/>
  <c r="T77" i="10"/>
  <c r="U77" i="10" s="1"/>
  <c r="X78" i="10"/>
  <c r="AC78" i="10" s="1"/>
  <c r="Y78" i="10"/>
  <c r="C84" i="10"/>
  <c r="W79" i="10"/>
  <c r="Z79" i="10" s="1"/>
  <c r="O79" i="10"/>
  <c r="M79" i="10" s="1"/>
  <c r="N79" i="10" s="1"/>
  <c r="P80" i="10"/>
  <c r="K80" i="10"/>
  <c r="Q79" i="10"/>
  <c r="I82" i="10"/>
  <c r="J81" i="10"/>
  <c r="R78" i="10"/>
  <c r="AB78" i="10" l="1"/>
  <c r="AD78" i="10" s="1"/>
  <c r="AE78" i="10" s="1"/>
  <c r="X79" i="10"/>
  <c r="AB79" i="10" s="1"/>
  <c r="AD79" i="10" s="1"/>
  <c r="AE79" i="10" s="1"/>
  <c r="R79" i="10"/>
  <c r="W80" i="10"/>
  <c r="Z80" i="10" s="1"/>
  <c r="O80" i="10"/>
  <c r="M80" i="10" s="1"/>
  <c r="N80" i="10" s="1"/>
  <c r="P81" i="10"/>
  <c r="K81" i="10"/>
  <c r="C85" i="10"/>
  <c r="S78" i="10"/>
  <c r="T78" i="10"/>
  <c r="U78" i="10" s="1"/>
  <c r="I83" i="10"/>
  <c r="J82" i="10"/>
  <c r="Y79" i="10"/>
  <c r="Q80" i="10"/>
  <c r="AC79" i="10" l="1"/>
  <c r="X80" i="10"/>
  <c r="AC80" i="10" s="1"/>
  <c r="Y80" i="10"/>
  <c r="R80" i="10"/>
  <c r="T80" i="10" s="1"/>
  <c r="U80" i="10" s="1"/>
  <c r="I84" i="10"/>
  <c r="J83" i="10"/>
  <c r="C86" i="10"/>
  <c r="Q81" i="10"/>
  <c r="W81" i="10"/>
  <c r="Z81" i="10" s="1"/>
  <c r="O81" i="10"/>
  <c r="M81" i="10" s="1"/>
  <c r="N81" i="10" s="1"/>
  <c r="P82" i="10"/>
  <c r="K82" i="10"/>
  <c r="S79" i="10"/>
  <c r="T79" i="10"/>
  <c r="U79" i="10" s="1"/>
  <c r="AB80" i="10" l="1"/>
  <c r="AD80" i="10" s="1"/>
  <c r="AE80" i="10" s="1"/>
  <c r="S80" i="10"/>
  <c r="Y81" i="10"/>
  <c r="W82" i="10"/>
  <c r="Z82" i="10" s="1"/>
  <c r="O82" i="10"/>
  <c r="M82" i="10" s="1"/>
  <c r="N82" i="10" s="1"/>
  <c r="P83" i="10"/>
  <c r="K83" i="10"/>
  <c r="Q82" i="10"/>
  <c r="X81" i="10"/>
  <c r="C87" i="10"/>
  <c r="R81" i="10"/>
  <c r="J84" i="10"/>
  <c r="I85" i="10"/>
  <c r="X82" i="10" l="1"/>
  <c r="AB82" i="10" s="1"/>
  <c r="AD82" i="10" s="1"/>
  <c r="AE82" i="10" s="1"/>
  <c r="Y82" i="10"/>
  <c r="O83" i="10"/>
  <c r="M83" i="10" s="1"/>
  <c r="N83" i="10" s="1"/>
  <c r="P84" i="10"/>
  <c r="W83" i="10"/>
  <c r="Z83" i="10" s="1"/>
  <c r="K84" i="10"/>
  <c r="Q83" i="10"/>
  <c r="J85" i="10"/>
  <c r="I86" i="10"/>
  <c r="S81" i="10"/>
  <c r="T81" i="10"/>
  <c r="U81" i="10" s="1"/>
  <c r="C88" i="10"/>
  <c r="AB81" i="10"/>
  <c r="AD81" i="10" s="1"/>
  <c r="AE81" i="10" s="1"/>
  <c r="AC81" i="10"/>
  <c r="R82" i="10"/>
  <c r="AC82" i="10" l="1"/>
  <c r="R83" i="10"/>
  <c r="S83" i="10" s="1"/>
  <c r="Y83" i="10"/>
  <c r="X83" i="10"/>
  <c r="AC83" i="10" s="1"/>
  <c r="S82" i="10"/>
  <c r="T82" i="10"/>
  <c r="U82" i="10" s="1"/>
  <c r="C89" i="10"/>
  <c r="O84" i="10"/>
  <c r="M84" i="10" s="1"/>
  <c r="N84" i="10" s="1"/>
  <c r="P85" i="10"/>
  <c r="W84" i="10"/>
  <c r="Z84" i="10" s="1"/>
  <c r="K85" i="10"/>
  <c r="J86" i="10"/>
  <c r="I87" i="10"/>
  <c r="Q84" i="10"/>
  <c r="X84" i="10" l="1"/>
  <c r="AB84" i="10" s="1"/>
  <c r="AD84" i="10" s="1"/>
  <c r="AE84" i="10" s="1"/>
  <c r="T83" i="10"/>
  <c r="U83" i="10" s="1"/>
  <c r="R84" i="10"/>
  <c r="S84" i="10" s="1"/>
  <c r="AB83" i="10"/>
  <c r="AD83" i="10" s="1"/>
  <c r="AE83" i="10" s="1"/>
  <c r="Y84" i="10"/>
  <c r="C90" i="10"/>
  <c r="I88" i="10"/>
  <c r="J87" i="10"/>
  <c r="Q85" i="10"/>
  <c r="P86" i="10"/>
  <c r="O85" i="10"/>
  <c r="M85" i="10" s="1"/>
  <c r="N85" i="10" s="1"/>
  <c r="W85" i="10"/>
  <c r="Z85" i="10" s="1"/>
  <c r="K86" i="10"/>
  <c r="T84" i="10" l="1"/>
  <c r="U84" i="10" s="1"/>
  <c r="AC84" i="10"/>
  <c r="Q86" i="10"/>
  <c r="Y85" i="10"/>
  <c r="C91" i="10"/>
  <c r="O86" i="10"/>
  <c r="M86" i="10" s="1"/>
  <c r="N86" i="10" s="1"/>
  <c r="W86" i="10"/>
  <c r="Z86" i="10" s="1"/>
  <c r="P87" i="10"/>
  <c r="K87" i="10"/>
  <c r="R85" i="10"/>
  <c r="X85" i="10"/>
  <c r="I89" i="10"/>
  <c r="J88" i="10"/>
  <c r="X86" i="10" l="1"/>
  <c r="AB86" i="10" s="1"/>
  <c r="AD86" i="10" s="1"/>
  <c r="AE86" i="10" s="1"/>
  <c r="T85" i="10"/>
  <c r="U85" i="10" s="1"/>
  <c r="S85" i="10"/>
  <c r="O87" i="10"/>
  <c r="M87" i="10" s="1"/>
  <c r="N87" i="10" s="1"/>
  <c r="P88" i="10"/>
  <c r="K88" i="10"/>
  <c r="W87" i="10"/>
  <c r="Z87" i="10" s="1"/>
  <c r="R86" i="10"/>
  <c r="I90" i="10"/>
  <c r="J89" i="10"/>
  <c r="Q87" i="10"/>
  <c r="C92" i="10"/>
  <c r="AB85" i="10"/>
  <c r="AD85" i="10" s="1"/>
  <c r="AE85" i="10" s="1"/>
  <c r="AC85" i="10"/>
  <c r="Y86" i="10"/>
  <c r="AC86" i="10" l="1"/>
  <c r="R87" i="10"/>
  <c r="S87" i="10" s="1"/>
  <c r="O88" i="10"/>
  <c r="M88" i="10" s="1"/>
  <c r="N88" i="10" s="1"/>
  <c r="P89" i="10"/>
  <c r="K89" i="10"/>
  <c r="W88" i="10"/>
  <c r="Z88" i="10" s="1"/>
  <c r="C93" i="10"/>
  <c r="X87" i="10"/>
  <c r="I91" i="10"/>
  <c r="J90" i="10"/>
  <c r="Q88" i="10"/>
  <c r="Y87" i="10"/>
  <c r="T86" i="10"/>
  <c r="U86" i="10" s="1"/>
  <c r="S86" i="10"/>
  <c r="T87" i="10" l="1"/>
  <c r="U87" i="10" s="1"/>
  <c r="R88" i="10"/>
  <c r="S88" i="10" s="1"/>
  <c r="AC87" i="10"/>
  <c r="AB87" i="10"/>
  <c r="AD87" i="10" s="1"/>
  <c r="AE87" i="10" s="1"/>
  <c r="O89" i="10"/>
  <c r="M89" i="10" s="1"/>
  <c r="N89" i="10" s="1"/>
  <c r="P90" i="10"/>
  <c r="K90" i="10"/>
  <c r="W89" i="10"/>
  <c r="Z89" i="10" s="1"/>
  <c r="I92" i="10"/>
  <c r="J91" i="10"/>
  <c r="Q89" i="10"/>
  <c r="X88" i="10"/>
  <c r="Y88" i="10"/>
  <c r="C94" i="10"/>
  <c r="R89" i="10" l="1"/>
  <c r="S89" i="10" s="1"/>
  <c r="T88" i="10"/>
  <c r="U88" i="10" s="1"/>
  <c r="Y89" i="10"/>
  <c r="AC88" i="10"/>
  <c r="AB88" i="10"/>
  <c r="AD88" i="10" s="1"/>
  <c r="AE88" i="10" s="1"/>
  <c r="O90" i="10"/>
  <c r="M90" i="10" s="1"/>
  <c r="N90" i="10" s="1"/>
  <c r="P91" i="10"/>
  <c r="K91" i="10"/>
  <c r="W90" i="10"/>
  <c r="Z90" i="10" s="1"/>
  <c r="Q90" i="10"/>
  <c r="X89" i="10"/>
  <c r="C95" i="10"/>
  <c r="I93" i="10"/>
  <c r="J92" i="10"/>
  <c r="T89" i="10" l="1"/>
  <c r="U89" i="10" s="1"/>
  <c r="R90" i="10"/>
  <c r="S90" i="10" s="1"/>
  <c r="Y90" i="10"/>
  <c r="I94" i="10"/>
  <c r="J93" i="10"/>
  <c r="Q91" i="10"/>
  <c r="C96" i="10"/>
  <c r="AC89" i="10"/>
  <c r="AB89" i="10"/>
  <c r="AD89" i="10" s="1"/>
  <c r="AE89" i="10" s="1"/>
  <c r="X90" i="10"/>
  <c r="O91" i="10"/>
  <c r="M91" i="10" s="1"/>
  <c r="N91" i="10" s="1"/>
  <c r="P92" i="10"/>
  <c r="K92" i="10"/>
  <c r="W91" i="10"/>
  <c r="Z91" i="10" s="1"/>
  <c r="T90" i="10" l="1"/>
  <c r="U90" i="10" s="1"/>
  <c r="Y91" i="10"/>
  <c r="X91" i="10"/>
  <c r="AB91" i="10" s="1"/>
  <c r="AD91" i="10" s="1"/>
  <c r="AE91" i="10" s="1"/>
  <c r="Q92" i="10"/>
  <c r="R91" i="10"/>
  <c r="O92" i="10"/>
  <c r="M92" i="10" s="1"/>
  <c r="N92" i="10" s="1"/>
  <c r="P93" i="10"/>
  <c r="K93" i="10"/>
  <c r="W92" i="10"/>
  <c r="Z92" i="10" s="1"/>
  <c r="C97" i="10"/>
  <c r="AC90" i="10"/>
  <c r="AB90" i="10"/>
  <c r="AD90" i="10" s="1"/>
  <c r="AE90" i="10" s="1"/>
  <c r="J94" i="10"/>
  <c r="I95" i="10"/>
  <c r="AC91" i="10" l="1"/>
  <c r="R92" i="10"/>
  <c r="S92" i="10" s="1"/>
  <c r="Q93" i="10"/>
  <c r="O93" i="10"/>
  <c r="M93" i="10" s="1"/>
  <c r="N93" i="10" s="1"/>
  <c r="P94" i="10"/>
  <c r="K94" i="10"/>
  <c r="W93" i="10"/>
  <c r="Z93" i="10" s="1"/>
  <c r="C98" i="10"/>
  <c r="Y92" i="10"/>
  <c r="J95" i="10"/>
  <c r="I96" i="10"/>
  <c r="S91" i="10"/>
  <c r="T91" i="10"/>
  <c r="U91" i="10" s="1"/>
  <c r="X92" i="10"/>
  <c r="T92" i="10" l="1"/>
  <c r="U92" i="10" s="1"/>
  <c r="Y93" i="10"/>
  <c r="C99" i="10"/>
  <c r="J96" i="10"/>
  <c r="I97" i="10"/>
  <c r="X93" i="10"/>
  <c r="Q94" i="10"/>
  <c r="AC92" i="10"/>
  <c r="AB92" i="10"/>
  <c r="AD92" i="10" s="1"/>
  <c r="AE92" i="10" s="1"/>
  <c r="R93" i="10"/>
  <c r="O94" i="10"/>
  <c r="M94" i="10" s="1"/>
  <c r="N94" i="10" s="1"/>
  <c r="P95" i="10"/>
  <c r="K95" i="10"/>
  <c r="W94" i="10"/>
  <c r="Z94" i="10" s="1"/>
  <c r="Y94" i="10" l="1"/>
  <c r="J97" i="10"/>
  <c r="I98" i="10"/>
  <c r="Q95" i="10"/>
  <c r="X94" i="10"/>
  <c r="S93" i="10"/>
  <c r="T93" i="10"/>
  <c r="U93" i="10" s="1"/>
  <c r="K96" i="10"/>
  <c r="W95" i="10"/>
  <c r="Z95" i="10" s="1"/>
  <c r="P96" i="10"/>
  <c r="O95" i="10"/>
  <c r="M95" i="10" s="1"/>
  <c r="N95" i="10" s="1"/>
  <c r="R94" i="10"/>
  <c r="AC93" i="10"/>
  <c r="AB93" i="10"/>
  <c r="AD93" i="10" s="1"/>
  <c r="AE93" i="10" s="1"/>
  <c r="C100" i="10"/>
  <c r="C101" i="10" l="1"/>
  <c r="S94" i="10"/>
  <c r="T94" i="10"/>
  <c r="U94" i="10" s="1"/>
  <c r="K97" i="10"/>
  <c r="O96" i="10"/>
  <c r="M96" i="10" s="1"/>
  <c r="N96" i="10" s="1"/>
  <c r="W96" i="10"/>
  <c r="Z96" i="10" s="1"/>
  <c r="P97" i="10"/>
  <c r="X95" i="10"/>
  <c r="I99" i="10"/>
  <c r="J98" i="10"/>
  <c r="Y95" i="10"/>
  <c r="R95" i="10"/>
  <c r="AC94" i="10"/>
  <c r="AB94" i="10"/>
  <c r="AD94" i="10" s="1"/>
  <c r="AE94" i="10" s="1"/>
  <c r="Q96" i="10"/>
  <c r="R96" i="10" l="1"/>
  <c r="T96" i="10" s="1"/>
  <c r="U96" i="10" s="1"/>
  <c r="X96" i="10"/>
  <c r="AC96" i="10" s="1"/>
  <c r="Y96" i="10"/>
  <c r="Q97" i="10"/>
  <c r="J99" i="10"/>
  <c r="I100" i="10"/>
  <c r="T95" i="10"/>
  <c r="U95" i="10" s="1"/>
  <c r="S95" i="10"/>
  <c r="AC95" i="10"/>
  <c r="AB95" i="10"/>
  <c r="AD95" i="10" s="1"/>
  <c r="AE95" i="10" s="1"/>
  <c r="K98" i="10"/>
  <c r="P98" i="10"/>
  <c r="W97" i="10"/>
  <c r="Z97" i="10" s="1"/>
  <c r="O97" i="10"/>
  <c r="M97" i="10" s="1"/>
  <c r="N97" i="10" s="1"/>
  <c r="C102" i="10"/>
  <c r="S96" i="10" l="1"/>
  <c r="AB96" i="10"/>
  <c r="AD96" i="10" s="1"/>
  <c r="AE96" i="10" s="1"/>
  <c r="Y97" i="10"/>
  <c r="X97" i="10"/>
  <c r="AB97" i="10" s="1"/>
  <c r="AD97" i="10" s="1"/>
  <c r="AE97" i="10" s="1"/>
  <c r="C103" i="10"/>
  <c r="I101" i="10"/>
  <c r="J100" i="10"/>
  <c r="R97" i="10"/>
  <c r="Q98" i="10"/>
  <c r="K99" i="10"/>
  <c r="O98" i="10"/>
  <c r="M98" i="10" s="1"/>
  <c r="N98" i="10" s="1"/>
  <c r="W98" i="10"/>
  <c r="Z98" i="10" s="1"/>
  <c r="P99" i="10"/>
  <c r="AC97" i="10" l="1"/>
  <c r="X98" i="10"/>
  <c r="J101" i="10"/>
  <c r="I102" i="10"/>
  <c r="K100" i="10"/>
  <c r="P100" i="10"/>
  <c r="O99" i="10"/>
  <c r="M99" i="10" s="1"/>
  <c r="N99" i="10" s="1"/>
  <c r="W99" i="10"/>
  <c r="Z99" i="10" s="1"/>
  <c r="R98" i="10"/>
  <c r="Q99" i="10"/>
  <c r="Y98" i="10"/>
  <c r="S97" i="10"/>
  <c r="T97" i="10"/>
  <c r="U97" i="10" s="1"/>
  <c r="C104" i="10"/>
  <c r="Y99" i="10" l="1"/>
  <c r="X99" i="10"/>
  <c r="AC99" i="10" s="1"/>
  <c r="I103" i="10"/>
  <c r="J102" i="10"/>
  <c r="T98" i="10"/>
  <c r="U98" i="10" s="1"/>
  <c r="S98" i="10"/>
  <c r="K101" i="10"/>
  <c r="O100" i="10"/>
  <c r="M100" i="10" s="1"/>
  <c r="N100" i="10" s="1"/>
  <c r="W100" i="10"/>
  <c r="Z100" i="10" s="1"/>
  <c r="P101" i="10"/>
  <c r="R99" i="10"/>
  <c r="C105" i="10"/>
  <c r="Q100" i="10"/>
  <c r="AB98" i="10"/>
  <c r="AD98" i="10" s="1"/>
  <c r="AE98" i="10" s="1"/>
  <c r="AC98" i="10"/>
  <c r="AB99" i="10" l="1"/>
  <c r="AD99" i="10" s="1"/>
  <c r="AE99" i="10" s="1"/>
  <c r="Y100" i="10"/>
  <c r="R100" i="10"/>
  <c r="S100" i="10" s="1"/>
  <c r="X100" i="10"/>
  <c r="AB100" i="10" s="1"/>
  <c r="AD100" i="10" s="1"/>
  <c r="AE100" i="10" s="1"/>
  <c r="Q101" i="10"/>
  <c r="S99" i="10"/>
  <c r="T99" i="10"/>
  <c r="U99" i="10" s="1"/>
  <c r="C106" i="10"/>
  <c r="K102" i="10"/>
  <c r="P102" i="10"/>
  <c r="O101" i="10"/>
  <c r="M101" i="10" s="1"/>
  <c r="N101" i="10" s="1"/>
  <c r="W101" i="10"/>
  <c r="Z101" i="10" s="1"/>
  <c r="J103" i="10"/>
  <c r="I104" i="10"/>
  <c r="T100" i="10" l="1"/>
  <c r="U100" i="10" s="1"/>
  <c r="AC100" i="10"/>
  <c r="C107" i="10"/>
  <c r="Y101" i="10"/>
  <c r="X101" i="10"/>
  <c r="J104" i="10"/>
  <c r="I105" i="10"/>
  <c r="Q102" i="10"/>
  <c r="R101" i="10"/>
  <c r="K103" i="10"/>
  <c r="O102" i="10"/>
  <c r="M102" i="10" s="1"/>
  <c r="N102" i="10" s="1"/>
  <c r="W102" i="10"/>
  <c r="Z102" i="10" s="1"/>
  <c r="P103" i="10"/>
  <c r="Y102" i="10" l="1"/>
  <c r="K104" i="10"/>
  <c r="O103" i="10"/>
  <c r="M103" i="10" s="1"/>
  <c r="N103" i="10" s="1"/>
  <c r="W103" i="10"/>
  <c r="Z103" i="10" s="1"/>
  <c r="P104" i="10"/>
  <c r="Q103" i="10"/>
  <c r="S101" i="10"/>
  <c r="T101" i="10"/>
  <c r="U101" i="10" s="1"/>
  <c r="X102" i="10"/>
  <c r="J105" i="10"/>
  <c r="I106" i="10"/>
  <c r="C108" i="10"/>
  <c r="AC101" i="10"/>
  <c r="AB101" i="10"/>
  <c r="AD101" i="10" s="1"/>
  <c r="AE101" i="10" s="1"/>
  <c r="R102" i="10"/>
  <c r="R103" i="10" l="1"/>
  <c r="T103" i="10" s="1"/>
  <c r="U103" i="10" s="1"/>
  <c r="X103" i="10"/>
  <c r="AC103" i="10" s="1"/>
  <c r="Y103" i="10"/>
  <c r="Q104" i="10"/>
  <c r="C109" i="10"/>
  <c r="AB102" i="10"/>
  <c r="AD102" i="10" s="1"/>
  <c r="AE102" i="10" s="1"/>
  <c r="AC102" i="10"/>
  <c r="T102" i="10"/>
  <c r="U102" i="10" s="1"/>
  <c r="S102" i="10"/>
  <c r="I107" i="10"/>
  <c r="J106" i="10"/>
  <c r="K105" i="10"/>
  <c r="P105" i="10"/>
  <c r="W104" i="10"/>
  <c r="Z104" i="10" s="1"/>
  <c r="O104" i="10"/>
  <c r="M104" i="10" s="1"/>
  <c r="N104" i="10" s="1"/>
  <c r="S103" i="10" l="1"/>
  <c r="AB103" i="10"/>
  <c r="AD103" i="10" s="1"/>
  <c r="AE103" i="10" s="1"/>
  <c r="Y104" i="10"/>
  <c r="I108" i="10"/>
  <c r="J107" i="10"/>
  <c r="X104" i="10"/>
  <c r="Q105" i="10"/>
  <c r="C110" i="10"/>
  <c r="R104" i="10"/>
  <c r="K106" i="10"/>
  <c r="P106" i="10"/>
  <c r="W105" i="10"/>
  <c r="Z105" i="10" s="1"/>
  <c r="O105" i="10"/>
  <c r="M105" i="10" s="1"/>
  <c r="N105" i="10" s="1"/>
  <c r="Q106" i="10" l="1"/>
  <c r="K107" i="10"/>
  <c r="W106" i="10"/>
  <c r="Z106" i="10" s="1"/>
  <c r="P107" i="10"/>
  <c r="O106" i="10"/>
  <c r="M106" i="10" s="1"/>
  <c r="N106" i="10" s="1"/>
  <c r="Y105" i="10"/>
  <c r="AB104" i="10"/>
  <c r="AD104" i="10" s="1"/>
  <c r="AE104" i="10" s="1"/>
  <c r="AC104" i="10"/>
  <c r="S104" i="10"/>
  <c r="T104" i="10"/>
  <c r="U104" i="10" s="1"/>
  <c r="X105" i="10"/>
  <c r="C111" i="10"/>
  <c r="R105" i="10"/>
  <c r="J108" i="10"/>
  <c r="I109" i="10"/>
  <c r="X106" i="10" l="1"/>
  <c r="AB106" i="10" s="1"/>
  <c r="AD106" i="10" s="1"/>
  <c r="AE106" i="10" s="1"/>
  <c r="Q107" i="10"/>
  <c r="R106" i="10"/>
  <c r="Y106" i="10"/>
  <c r="C112" i="10"/>
  <c r="J109" i="10"/>
  <c r="I110" i="10"/>
  <c r="AB105" i="10"/>
  <c r="AD105" i="10" s="1"/>
  <c r="AE105" i="10" s="1"/>
  <c r="AC105" i="10"/>
  <c r="T105" i="10"/>
  <c r="U105" i="10" s="1"/>
  <c r="S105" i="10"/>
  <c r="K108" i="10"/>
  <c r="W107" i="10"/>
  <c r="Z107" i="10" s="1"/>
  <c r="P108" i="10"/>
  <c r="O107" i="10"/>
  <c r="M107" i="10" s="1"/>
  <c r="N107" i="10" s="1"/>
  <c r="AC106" i="10" l="1"/>
  <c r="J110" i="10"/>
  <c r="I111" i="10"/>
  <c r="T106" i="10"/>
  <c r="U106" i="10" s="1"/>
  <c r="S106" i="10"/>
  <c r="Q108" i="10"/>
  <c r="C113" i="10"/>
  <c r="X107" i="10"/>
  <c r="R107" i="10"/>
  <c r="K109" i="10"/>
  <c r="W108" i="10"/>
  <c r="Z108" i="10" s="1"/>
  <c r="O108" i="10"/>
  <c r="M108" i="10" s="1"/>
  <c r="N108" i="10" s="1"/>
  <c r="P109" i="10"/>
  <c r="Y107" i="10"/>
  <c r="X108" i="10" l="1"/>
  <c r="AB108" i="10" s="1"/>
  <c r="AD108" i="10" s="1"/>
  <c r="AE108" i="10" s="1"/>
  <c r="Q109" i="10"/>
  <c r="AB107" i="10"/>
  <c r="AD107" i="10" s="1"/>
  <c r="AE107" i="10" s="1"/>
  <c r="AC107" i="10"/>
  <c r="Y108" i="10"/>
  <c r="C114" i="10"/>
  <c r="R108" i="10"/>
  <c r="J111" i="10"/>
  <c r="I112" i="10"/>
  <c r="T107" i="10"/>
  <c r="U107" i="10" s="1"/>
  <c r="S107" i="10"/>
  <c r="K110" i="10"/>
  <c r="W109" i="10"/>
  <c r="Z109" i="10" s="1"/>
  <c r="O109" i="10"/>
  <c r="M109" i="10" s="1"/>
  <c r="N109" i="10" s="1"/>
  <c r="P110" i="10"/>
  <c r="AC108" i="10" l="1"/>
  <c r="X109" i="10"/>
  <c r="AB109" i="10" s="1"/>
  <c r="AD109" i="10" s="1"/>
  <c r="AE109" i="10" s="1"/>
  <c r="C115" i="10"/>
  <c r="Y109" i="10"/>
  <c r="T108" i="10"/>
  <c r="U108" i="10" s="1"/>
  <c r="S108" i="10"/>
  <c r="I113" i="10"/>
  <c r="J112" i="10"/>
  <c r="R109" i="10"/>
  <c r="Q110" i="10"/>
  <c r="K111" i="10"/>
  <c r="W110" i="10"/>
  <c r="Z110" i="10" s="1"/>
  <c r="P111" i="10"/>
  <c r="O110" i="10"/>
  <c r="M110" i="10" s="1"/>
  <c r="N110" i="10" s="1"/>
  <c r="AC109" i="10" l="1"/>
  <c r="R110" i="10"/>
  <c r="S110" i="10" s="1"/>
  <c r="K112" i="10"/>
  <c r="P112" i="10"/>
  <c r="W111" i="10"/>
  <c r="Z111" i="10" s="1"/>
  <c r="O111" i="10"/>
  <c r="M111" i="10" s="1"/>
  <c r="N111" i="10" s="1"/>
  <c r="J113" i="10"/>
  <c r="I114" i="10"/>
  <c r="S109" i="10"/>
  <c r="T109" i="10"/>
  <c r="U109" i="10" s="1"/>
  <c r="C116" i="10"/>
  <c r="Y110" i="10"/>
  <c r="Q111" i="10"/>
  <c r="X110" i="10"/>
  <c r="R111" i="10" l="1"/>
  <c r="T111" i="10" s="1"/>
  <c r="U111" i="10" s="1"/>
  <c r="X111" i="10"/>
  <c r="AB111" i="10" s="1"/>
  <c r="AD111" i="10" s="1"/>
  <c r="AE111" i="10" s="1"/>
  <c r="Y111" i="10"/>
  <c r="T110" i="10"/>
  <c r="U110" i="10" s="1"/>
  <c r="Q112" i="10"/>
  <c r="K113" i="10"/>
  <c r="W112" i="10"/>
  <c r="Z112" i="10" s="1"/>
  <c r="P113" i="10"/>
  <c r="O112" i="10"/>
  <c r="M112" i="10" s="1"/>
  <c r="N112" i="10" s="1"/>
  <c r="J114" i="10"/>
  <c r="I115" i="10"/>
  <c r="AB110" i="10"/>
  <c r="AD110" i="10" s="1"/>
  <c r="AE110" i="10" s="1"/>
  <c r="AC110" i="10"/>
  <c r="AC111" i="10" l="1"/>
  <c r="S111" i="10"/>
  <c r="I116" i="10"/>
  <c r="J115" i="10"/>
  <c r="X112" i="10"/>
  <c r="K114" i="10"/>
  <c r="P114" i="10"/>
  <c r="W113" i="10"/>
  <c r="Z113" i="10" s="1"/>
  <c r="O113" i="10"/>
  <c r="M113" i="10" s="1"/>
  <c r="N113" i="10" s="1"/>
  <c r="R112" i="10"/>
  <c r="Y112" i="10"/>
  <c r="Q113" i="10"/>
  <c r="J116" i="10" l="1"/>
  <c r="Y113" i="10"/>
  <c r="X113" i="10"/>
  <c r="AC113" i="10" s="1"/>
  <c r="AB112" i="10"/>
  <c r="AD112" i="10" s="1"/>
  <c r="AE112" i="10" s="1"/>
  <c r="AC112" i="10"/>
  <c r="T112" i="10"/>
  <c r="U112" i="10" s="1"/>
  <c r="S112" i="10"/>
  <c r="K115" i="10"/>
  <c r="W114" i="10"/>
  <c r="Z114" i="10" s="1"/>
  <c r="O114" i="10"/>
  <c r="M114" i="10" s="1"/>
  <c r="N114" i="10" s="1"/>
  <c r="P115" i="10"/>
  <c r="R113" i="10"/>
  <c r="Q114" i="10"/>
  <c r="AB113" i="10" l="1"/>
  <c r="AD113" i="10" s="1"/>
  <c r="AE113" i="10" s="1"/>
  <c r="Y114" i="10"/>
  <c r="X114" i="10"/>
  <c r="AB114" i="10" s="1"/>
  <c r="AD114" i="10" s="1"/>
  <c r="AE114" i="10" s="1"/>
  <c r="R114" i="10"/>
  <c r="T114" i="10" s="1"/>
  <c r="U114" i="10" s="1"/>
  <c r="Q115" i="10"/>
  <c r="T113" i="10"/>
  <c r="U113" i="10" s="1"/>
  <c r="S113" i="10"/>
  <c r="K116" i="10"/>
  <c r="W115" i="10"/>
  <c r="Z115" i="10" s="1"/>
  <c r="O115" i="10"/>
  <c r="M115" i="10" s="1"/>
  <c r="N115" i="10" s="1"/>
  <c r="P116" i="10"/>
  <c r="S114" i="10" l="1"/>
  <c r="AC114" i="10"/>
  <c r="Y115" i="10"/>
  <c r="W116" i="10"/>
  <c r="Z116" i="10" s="1"/>
  <c r="O116" i="10"/>
  <c r="M116" i="10" s="1"/>
  <c r="N116" i="10" s="1"/>
  <c r="X115" i="10"/>
  <c r="Q116" i="10"/>
  <c r="R115" i="10"/>
  <c r="Y116" i="10" l="1"/>
  <c r="X116" i="10"/>
  <c r="AB116" i="10" s="1"/>
  <c r="M16" i="10" s="1"/>
  <c r="R116" i="10"/>
  <c r="AB115" i="10"/>
  <c r="AD115" i="10" s="1"/>
  <c r="AE115" i="10" s="1"/>
  <c r="AC115" i="10"/>
  <c r="S115" i="10"/>
  <c r="T115" i="10"/>
  <c r="U115" i="10" s="1"/>
  <c r="K16" i="10" l="1"/>
  <c r="J16" i="10"/>
  <c r="I16" i="10"/>
  <c r="O16" i="10"/>
  <c r="F16" i="10"/>
  <c r="G16" i="10"/>
  <c r="AC116" i="10"/>
  <c r="S116" i="10"/>
  <c r="AB6" i="10" s="1"/>
  <c r="T116" i="10"/>
  <c r="U116" i="10" s="1"/>
  <c r="AE9" i="10" s="1"/>
  <c r="AD116" i="10"/>
  <c r="AE116" i="10" s="1"/>
  <c r="AE8" i="10"/>
  <c r="AE5" i="10"/>
  <c r="Z6" i="10"/>
  <c r="Z7" i="10"/>
  <c r="Z8" i="10"/>
  <c r="AB8" i="10" s="1"/>
  <c r="AE4" i="10"/>
  <c r="Z4" i="10"/>
  <c r="AB4" i="10" s="1"/>
  <c r="AE3" i="10"/>
  <c r="Z3" i="10"/>
  <c r="Z2" i="10"/>
  <c r="AB2" i="10" s="1"/>
  <c r="AE2" i="10"/>
  <c r="AE7" i="10"/>
  <c r="W16" i="10"/>
  <c r="AB7" i="10"/>
  <c r="X16" i="10"/>
  <c r="AE6" i="10"/>
  <c r="AB3" i="10" l="1"/>
  <c r="AB5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A3" authorId="1" shapeId="0">
      <text>
        <r>
          <rPr>
            <sz val="9"/>
            <color indexed="81"/>
            <rFont val="Tahoma"/>
            <family val="2"/>
            <charset val="204"/>
          </rPr>
          <t>Начальное количество пипсов ТР - прибыли от сетки.   Прибавляется (с минусом) к уровню без убытка или среднеарифметическому взвешенному сетки</t>
        </r>
      </text>
    </comment>
    <comment ref="E3" authorId="1" shapeId="0">
      <text>
        <r>
          <rPr>
            <sz val="9"/>
            <color indexed="81"/>
            <rFont val="Tahoma"/>
            <family val="2"/>
            <charset val="204"/>
          </rPr>
          <t>Начальный шаг SELL сетки в пипсах</t>
        </r>
      </text>
    </comment>
    <comment ref="I3" authorId="1" shapeId="0">
      <text>
        <r>
          <rPr>
            <sz val="9"/>
            <color indexed="81"/>
            <rFont val="Tahoma"/>
            <family val="2"/>
            <charset val="204"/>
          </rPr>
          <t>Лот 1 -го (первого) минимального ордера сетки</t>
        </r>
      </text>
    </comment>
    <comment ref="K3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Z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4" authorId="1" shapeId="0">
      <text>
        <r>
          <rPr>
            <sz val="9"/>
            <color indexed="81"/>
            <rFont val="Tahoma"/>
            <family val="2"/>
            <charset val="204"/>
          </rPr>
          <t>Начальный множитель лота для ордеров сетки. Чаще всего лот очередного открываемого ордера сетки = лоту последнего ордера сетки * Mult (с или без коррекции)</t>
        </r>
      </text>
    </comment>
    <comment ref="P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Z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5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начинает применяться Mult. До округления лот ордера MultStart колена = MinLot * Mult</t>
        </r>
      </text>
    </comment>
    <comment ref="AE5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P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Z6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TakeProffit будет корректироваться на TakeProffit_Level1Corr (на каждом колене)</t>
        </r>
      </text>
    </comment>
    <comment ref="E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GridStep_AddPips пипсов (на каждом колене)</t>
        </r>
      </text>
    </comment>
    <comment ref="I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MultCorr (на каждом колене)</t>
        </r>
      </text>
    </comment>
    <comment ref="Z7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H7" authorId="1" shapeId="0">
      <text>
        <r>
          <rPr>
            <sz val="10"/>
            <color indexed="81"/>
            <rFont val="Tahoma"/>
            <family val="2"/>
            <charset val="204"/>
          </rPr>
          <t>Доступный пользователям блок ячеек для ввода параметров/настроек сетки и необходимых для расчетов параметров конкретного счета и конкретной валютной пары (цена пипса, комиссия, залог за одну пару и stopout в %%) - для каждой пары и каждого счета они разные.
Причем залог и цена пипса меняется вместе с ценой пары - и их надо достаточно регулярно уточнять и обновлять в Модели</t>
        </r>
        <r>
          <rPr>
            <sz val="9"/>
            <color indexed="81"/>
            <rFont val="Tahoma"/>
            <family val="2"/>
            <charset val="204"/>
          </rPr>
          <t xml:space="preserve">.
</t>
        </r>
      </text>
    </comment>
    <comment ref="A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ТР, начиная с TakeProffit_Level1 колена. Может быть &gt;0 или &lt;0</t>
        </r>
      </text>
    </comment>
    <comment ref="E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S_GridLevel. Может быть =0, &gt;0 и даже &lt;0</t>
        </r>
      </text>
    </comment>
    <comment ref="I8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MultLevel2 включительно</t>
        </r>
      </text>
    </comment>
    <comment ref="P8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A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текущий/расчетный  TР сетки (в пипсах) будет корректироваться на S_TakeProffit_Level1_5Corr пипсов (на каждом колене)</t>
        </r>
      </text>
    </comment>
    <comment ref="E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GridStep_Level2_AddPips пипс (на каждом колене)</t>
        </r>
      </text>
    </comment>
    <comment ref="I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MultСorrLevel3 (на каждом колене)</t>
        </r>
      </text>
    </comment>
    <comment ref="P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A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 сетки в пипсах, начиная с S_TakeProffit_Level1_5 колена. Может быть &gt;0 или &lt;0</t>
        </r>
      </text>
    </comment>
    <comment ref="E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GridLevel_Level2. Может быть =0, &gt;0 и даже &lt;0</t>
        </r>
      </text>
    </comment>
    <comment ref="I11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MultLevel3 включительно</t>
        </r>
      </text>
    </comment>
    <comment ref="A13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уровень ТР сетки в пипсах фиксируется и жестко выставляется на уровень без убытка минус S_TakeProffit_Level2FixPips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=0 - отключен. GridStop это № колена, на котором поправки шага сетки срабатывают последний раз.
До конца сетки (после GridStop колена) шаг становится фиксированным и равным шагу сетки на GridStop колене.
</t>
        </r>
      </text>
    </comment>
    <comment ref="I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 0 - отключена. MultStop это №колена, на котором последний раз применяются корректирующие мульт параметры MultCorr и MultСorrLevel3 (если пользователь их задействовал).
MultStop это номер колена, после которого до конца сетки множитель лота (мульт) фиксируется и будет одинаковым вплоть до последнего колена сетки (включительно).
</t>
        </r>
      </text>
    </comment>
    <comment ref="A14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 отступа в плюс (прибыли) от уровня безубытка SELL сетки, фиксировано выставляемого начиная с S_TakeProffit_Level2 колена сетки.</t>
        </r>
      </text>
    </comment>
    <comment ref="I14" authorId="1" shapeId="0">
      <text>
        <r>
          <rPr>
            <sz val="9"/>
            <color indexed="81"/>
            <rFont val="Tahoma"/>
            <family val="2"/>
            <charset val="204"/>
          </rPr>
          <t xml:space="preserve">MaxLotCoef это задаваемый пользователем коэффициент максимального лота ордера любого колена сетки.
MaxLotCoef позволяет вычислить максимальный лот, с которым боту разрешено открывать рыночные (выставлять отложенные) ордера.
Ордера с лотом большим, чем разрешенным|заданным MaxLotCoef, бот открывать не будет.    Если MaxLotCoef=0 – контроль/ограничение максимального лота ордера отключено.
Традиционно в ботах максимально разрешенный лот ордера в сетке задается константой в лотах. У нас максимально допустимый лот ордера в сетке вычисляется от лота первого ордера сетки - что делает максимального лот ордера динамическим и пропорциональным размеру депо (если CurrencyForMinLot&gt;0 и лот первого ордера сетки не фиксированный, а вычисляемый в зависимости от размера депо).
MaxLotCoef указывает максимальный ордер в сетке как максимально разрешенное количество первых ордеров сетки – с лотом фиксированным или вычисленным в зависимости от размера депо.
Если расчетный лот очередного ордера сетки превысит MaxLotCoef * лот первого ордера сетки, то откроется ордер с лотом равным MaxLotCoef * лот первого ордера сетки.
Например, MaxLotCoef=150, при первом ордере сетки 0.02 лота, разрешают максимальный ордер для sell сеток =3 лота.    Данная опция позволяет применять усреднение на последних ордерах сеток.
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AH15" authorId="1" shapeId="0">
      <text>
        <r>
          <rPr>
            <sz val="10"/>
            <color indexed="81"/>
            <rFont val="Tahoma"/>
            <family val="2"/>
            <charset val="204"/>
          </rPr>
          <t>Защищенный от случайного стирания/повреждения блок собственно модели, где выполняются, как я считаю, все необходимые пользователям расчеты и визуализируется вся необходимая пользователям Бота информация.</t>
        </r>
      </text>
    </comment>
    <comment ref="P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  <comment ref="B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ТakeРrofit: количества пипсов чистой прибыли - размещаются после/дальше уровня безубытка сетки в направлении начала сетки.
Зона ТР сетки, в зависимости от количества колен и длины сетки, может начинаться как в 7-10, так и в 100 пипсах от старшего ордера сетки.
В большинстве средних по агрессивности сеток из 3-х и более ордеров зона ТР размещается/завершается в районе 3-го из максимальных ордеров сетки.</t>
        </r>
      </text>
    </comment>
    <comment ref="F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шагов колен/ордеров сетки и критично важной длины сетки.
В этом блоке определяется расстановка ордеров таким образом, чтобы не только перекрыть вероятный торговый диапазон пары (например, =350 пипсов), но и расставить первые 5-7-10 ордеров (в среднем &gt;95% сеток именно таких) оптимально для быстрого закрытия сетки по ТР на минимальном отскоке цены и с учетом устраивающей вас прибыли.
</t>
        </r>
      </text>
    </comment>
    <comment ref="J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лотов ордеров сетки.
Чрезвычайно важный блок, в который нами еще будут добавлены дополнительные опции контроля и модифицирования лотности сетки.
То, что будет добавлено в Бота, будет добавлено и в Модель.
</t>
        </r>
      </text>
    </comment>
    <comment ref="Q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первой, наиболее анализируемой части характеристик проектируемой сетки.
Здесь, для каждого колена сетки, показаны уровни безубытка и ТР сетки - информация исключительной важности для оценки вероятности и частоты закрываемости сетки по ТР с учетом фибо уровней вероятных отскоков/коррекций.
Здесь же расчетная просадка, крайне важная для верного контроля ММ.
Здесь же и расчетная прибыль на каждом колене - крайне важная для анализа степени агрессивности сетки и адекватности проектирования сетки, в том числе на младших коленах.  </t>
        </r>
      </text>
    </comment>
    <comment ref="X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информации о залоге и средствах, которые необходимо на залог резервировать.
По данному вопросу терминал информации практически не выдает - а она исключительно важна.
Многих удивит, что даже на плече 1:500 на первых 7 коленах сетки залог обычно превышает просадку - что означает, что минимальный депо должен более чем вдвое превышать просадку, на которую все не отрывая глаз смотрят при тестировании ботов.
Так что тем, кто хочет пробовать торговать депо-камикадзе, надо предельно серьезно отнестись к информации из 5-го блока Модели. 
</t>
        </r>
      </text>
    </comment>
    <comment ref="AD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информации о депо, необходимом для проектируемой вами сетки, и финальная информация о том на сколько пипсов движения цены хватит указанного вами депо.
Вычисление необходимого вам для торгов спроектированной вами сеткой депо требует максимум одного сложения или вычитания с занесением результата в ячейку "Депо, $".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6" background="1" refreshOnLoad="1" saveData="1">
    <dbPr connection="Provider=Microsoft.Mashup.OleDb.1;Data Source=$Workbook$;Location=Table 0;Extended Properties=&quot;&quot;" command="SELECT * FROM [Table 0]"/>
  </connection>
  <connection id="2" keepAlive="1" name="Запрос — Table 1" description="Соединение с запросом &quot;Table 1&quot; в книге." type="5" refreshedVersion="6" background="1" refreshOnLoa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<sst xmlns="http://schemas.openxmlformats.org/spreadsheetml/2006/main" count="297" uniqueCount="215">
  <si>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</si>
  <si>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</si>
  <si>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</si>
  <si>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</si>
  <si>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</si>
  <si>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</si>
  <si>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</si>
  <si>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</si>
  <si>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</si>
  <si>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</si>
  <si>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</si>
  <si>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</si>
  <si>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</si>
  <si>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</si>
  <si>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</si>
  <si>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</si>
  <si>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</si>
  <si>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</si>
  <si>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</si>
  <si>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</si>
  <si>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</si>
  <si>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</si>
  <si>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</si>
  <si>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</si>
  <si>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</si>
  <si>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</si>
  <si>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</si>
  <si>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</si>
  <si>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</si>
  <si>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</si>
  <si>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</si>
  <si>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</si>
  <si>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</si>
  <si>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</si>
  <si>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</si>
  <si>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</si>
  <si>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</si>
  <si>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</si>
  <si>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</si>
  <si>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</si>
  <si>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</si>
  <si>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</si>
  <si>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1:500</t>
  </si>
  <si>
    <t>4-хзнак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</si>
  <si>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</si>
  <si>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</si>
  <si>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</si>
  <si>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</si>
  <si>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</si>
  <si>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</si>
  <si>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</si>
  <si>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</si>
  <si>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</si>
  <si>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</si>
  <si>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</si>
  <si>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</si>
  <si>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</si>
  <si>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</si>
  <si>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</si>
  <si>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</si>
  <si>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</si>
  <si>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</si>
  <si>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</si>
  <si>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</si>
  <si>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</si>
  <si>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</si>
  <si>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</si>
  <si>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</si>
  <si>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</si>
  <si>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</si>
  <si>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</si>
  <si>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</si>
  <si>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</si>
  <si>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</si>
  <si>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</si>
  <si>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</si>
  <si>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</si>
  <si>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</si>
  <si>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</si>
  <si>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</si>
  <si>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</si>
  <si>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</si>
  <si>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</si>
  <si>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</si>
  <si>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</si>
  <si>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</si>
  <si>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</si>
  <si>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</si>
  <si>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</si>
  <si>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</si>
  <si>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</si>
  <si>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</si>
  <si>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</si>
  <si>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</si>
  <si>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</si>
  <si>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</si>
  <si>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</si>
  <si>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</si>
  <si>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</si>
  <si>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</si>
  <si>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</si>
  <si>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</si>
  <si>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</si>
  <si>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</si>
  <si>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</si>
  <si>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</si>
  <si>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</si>
  <si>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</si>
  <si>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</si>
  <si>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r>
      <rPr>
        <b/>
        <sz val="10"/>
        <rFont val="Arial Cyr"/>
        <charset val="204"/>
      </rPr>
      <t>Прибыль первого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</si>
  <si>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Прибыль последнего колена</t>
    </r>
    <r>
      <rPr>
        <sz val="10"/>
        <rFont val="Arial Cyr"/>
        <charset val="204"/>
      </rPr>
      <t>, $ / %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</si>
  <si>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</si>
  <si>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</si>
  <si>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</si>
  <si>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</si>
  <si>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</si>
  <si>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</si>
  <si>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</si>
  <si>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Шаблоны</t>
  </si>
  <si>
    <t>Характеристики пары</t>
  </si>
  <si>
    <t xml:space="preserve">Спред </t>
  </si>
  <si>
    <t>в разработке</t>
  </si>
  <si>
    <r>
      <rPr>
        <b/>
        <sz val="10"/>
        <rFont val="Arial Cyr"/>
        <charset val="204"/>
      </rPr>
      <t>КПД (прибыль/просадка)</t>
    </r>
    <r>
      <rPr>
        <sz val="10"/>
        <rFont val="Arial Cyr"/>
        <charset val="204"/>
      </rPr>
      <t>, %</t>
    </r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</si>
  <si>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</si>
  <si>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</si>
  <si>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</si>
  <si>
    <r>
      <t>Запас пр-ти</t>
    </r>
    <r>
      <rPr>
        <sz val="10"/>
        <rFont val="Arial Cyr"/>
        <charset val="204"/>
      </rPr>
      <t>, пипсов</t>
    </r>
  </si>
  <si>
    <r>
      <rPr>
        <b/>
        <sz val="10"/>
        <rFont val="Arial Cyr"/>
        <charset val="204"/>
      </rPr>
      <t>БУ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</si>
  <si>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</t>
    </r>
    <r>
      <rPr>
        <sz val="10"/>
        <rFont val="Arial Cyr"/>
        <charset val="204"/>
      </rPr>
      <t>, пипсов / %</t>
    </r>
  </si>
  <si>
    <t>БУ пос-го колена</t>
  </si>
  <si>
    <t>ТР пос-го колена</t>
  </si>
  <si>
    <t>TakeProffit_Level1_5</t>
  </si>
  <si>
    <t>TakeProffit_Level1_5Corr</t>
  </si>
  <si>
    <t>Ручное обновление: вкладка Данные &gt; Обновить все</t>
  </si>
  <si>
    <r>
      <rPr>
        <b/>
        <sz val="10"/>
        <rFont val="Arial Cyr"/>
        <charset val="204"/>
      </rPr>
      <t>Просадка</t>
    </r>
    <r>
      <rPr>
        <sz val="10"/>
        <rFont val="Arial Cyr"/>
        <charset val="204"/>
      </rPr>
      <t>, $ / $</t>
    </r>
  </si>
  <si>
    <r>
      <rPr>
        <b/>
        <sz val="10"/>
        <rFont val="Arial Cyr"/>
        <charset val="204"/>
      </rPr>
      <t>Прибыль</t>
    </r>
    <r>
      <rPr>
        <sz val="10"/>
        <rFont val="Arial Cyr"/>
        <charset val="204"/>
      </rPr>
      <t>, $ / %</t>
    </r>
  </si>
  <si>
    <t>0,78</t>
  </si>
  <si>
    <t>1,11</t>
  </si>
  <si>
    <t>Прибыль, 
$ / %</t>
  </si>
  <si>
    <t>1,04</t>
  </si>
  <si>
    <t>0,88</t>
  </si>
  <si>
    <t>0,96</t>
  </si>
  <si>
    <t>1,00</t>
  </si>
  <si>
    <t>0,98</t>
  </si>
  <si>
    <t>0,74</t>
  </si>
  <si>
    <t>0,76</t>
  </si>
  <si>
    <t>0,72</t>
  </si>
  <si>
    <t>0,83</t>
  </si>
  <si>
    <t>0,86</t>
  </si>
  <si>
    <t>0,95</t>
  </si>
  <si>
    <t>0,94</t>
  </si>
  <si>
    <t>0,80</t>
  </si>
  <si>
    <t>0,97</t>
  </si>
  <si>
    <t>1,18</t>
  </si>
  <si>
    <t>199,48</t>
  </si>
  <si>
    <t>117,16</t>
  </si>
  <si>
    <t>81,14</t>
  </si>
  <si>
    <t>74,06</t>
  </si>
  <si>
    <t>360,32</t>
  </si>
  <si>
    <t>93,70</t>
  </si>
  <si>
    <t>0,71</t>
  </si>
  <si>
    <t>74,86</t>
  </si>
  <si>
    <t>191,24</t>
  </si>
  <si>
    <t>0,28</t>
  </si>
  <si>
    <t>505,94</t>
  </si>
  <si>
    <t>31,24</t>
  </si>
  <si>
    <t>277,06</t>
  </si>
  <si>
    <t>242,34</t>
  </si>
  <si>
    <t>0,36</t>
  </si>
  <si>
    <t>112,04</t>
  </si>
  <si>
    <t>2,984,94</t>
  </si>
  <si>
    <t>1,37</t>
  </si>
  <si>
    <t>6,825,17</t>
  </si>
  <si>
    <t>1,14</t>
  </si>
  <si>
    <t>713,26</t>
  </si>
  <si>
    <t>84,54</t>
  </si>
  <si>
    <t>0,59</t>
  </si>
  <si>
    <t>542,02</t>
  </si>
  <si>
    <t>1,43</t>
  </si>
  <si>
    <t>2,061,14</t>
  </si>
  <si>
    <t>1,51</t>
  </si>
  <si>
    <t>28,10</t>
  </si>
  <si>
    <t>1,67</t>
  </si>
  <si>
    <t>1,299,52</t>
  </si>
  <si>
    <t>1,08</t>
  </si>
  <si>
    <t>81,36</t>
  </si>
  <si>
    <t>70,10</t>
  </si>
  <si>
    <t>0,93</t>
  </si>
  <si>
    <t>91,10</t>
  </si>
  <si>
    <t>1,07</t>
  </si>
  <si>
    <t>86,96</t>
  </si>
  <si>
    <t>68,96</t>
  </si>
  <si>
    <t>0,92</t>
  </si>
  <si>
    <t>4,979,75</t>
  </si>
  <si>
    <t>6,33</t>
  </si>
  <si>
    <t>5,467,50</t>
  </si>
  <si>
    <t>6,55</t>
  </si>
  <si>
    <t>58,56</t>
  </si>
  <si>
    <t>81,58</t>
  </si>
  <si>
    <t>96,60</t>
  </si>
  <si>
    <t>124,12</t>
  </si>
  <si>
    <t>109,24</t>
  </si>
  <si>
    <t>53,66</t>
  </si>
  <si>
    <t>0,50</t>
  </si>
  <si>
    <t>79,54</t>
  </si>
  <si>
    <t>0,90</t>
  </si>
  <si>
    <t>106,70</t>
  </si>
  <si>
    <t>142,36</t>
  </si>
  <si>
    <t>80,26</t>
  </si>
  <si>
    <t>177,34</t>
  </si>
  <si>
    <t>1,10</t>
  </si>
  <si>
    <t>152,32</t>
  </si>
  <si>
    <t>117,32</t>
  </si>
  <si>
    <t>159,64</t>
  </si>
  <si>
    <t>1,16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</si>
</sst>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</numFmts>
  <fonts count="6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u/>
      <sz val="11"/>
      <color rgb="FF000000"/>
      <name val="Calibri"/>
      <family val="2"/>
      <charset val="204"/>
    </font>
    <font>
      <b/>
      <sz val="36"/>
      <color indexed="48"/>
      <name val="Arial Cyr"/>
      <charset val="204"/>
    </font>
    <font>
      <b/>
      <sz val="36"/>
      <color rgb="FFFF6633"/>
      <name val="Arial Cyr"/>
      <charset val="204"/>
    </font>
    <font>
      <sz val="9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b/>
      <sz val="10"/>
      <color indexed="12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8696B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50">
    <xf numFmtId="0" fontId="0" fillId="0" borderId="0" xfId="0"/>
    <xf numFmtId="2" fontId="10" fillId="0" borderId="0" xfId="0" applyNumberFormat="1" applyFont="1" applyProtection="1">
      <protection locked="0"/>
    </xf>
    <xf numFmtId="0" fontId="4" fillId="0" borderId="0" xfId="0" applyFont="1" applyProtection="1"/>
    <xf numFmtId="0" fontId="5" fillId="0" borderId="0" xfId="0" applyFont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>
      <alignment vertical="center"/>
    </xf>
    <xf numFmtId="0" fontId="19" fillId="0" borderId="0" xfId="0" applyFont="1" applyProtection="1"/>
    <xf numFmtId="2" fontId="11" fillId="0" borderId="0" xfId="0" applyNumberFormat="1" applyFont="1" applyProtection="1">
      <protection locked="0"/>
    </xf>
    <xf numFmtId="0" fontId="22" fillId="0" borderId="0" xfId="0" applyFont="1" applyProtection="1"/>
    <xf numFmtId="0" fontId="23" fillId="0" borderId="0" xfId="0" applyFont="1" applyProtection="1"/>
    <xf numFmtId="0" fontId="24" fillId="0" borderId="0" xfId="0" applyFont="1" applyProtection="1"/>
    <xf numFmtId="2" fontId="28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0" fontId="37" fillId="0" borderId="0" xfId="0" applyFont="1"/>
    <xf numFmtId="49" fontId="29" fillId="0" borderId="0" xfId="0" applyNumberFormat="1" applyFont="1" applyAlignment="1">
      <alignment horizontal="center"/>
    </xf>
    <xf numFmtId="0" fontId="1" fillId="0" borderId="0" xfId="0" applyFont="1"/>
    <xf numFmtId="0" fontId="38" fillId="0" borderId="0" xfId="0" applyFont="1" applyAlignment="1">
      <alignment horizontal="center"/>
    </xf>
    <xf numFmtId="169" fontId="32" fillId="0" borderId="4" xfId="0" applyNumberFormat="1" applyFont="1" applyBorder="1" applyAlignment="1">
      <alignment horizontal="right" vertical="center"/>
    </xf>
    <xf numFmtId="0" fontId="42" fillId="0" borderId="0" xfId="0" applyFont="1" applyAlignment="1">
      <alignment horizontal="left"/>
    </xf>
    <xf numFmtId="0" fontId="43" fillId="0" borderId="0" xfId="0" applyFont="1" applyProtection="1"/>
    <xf numFmtId="171" fontId="27" fillId="0" borderId="0" xfId="0" applyNumberFormat="1" applyFont="1" applyFill="1" applyAlignment="1" applyProtection="1">
      <alignment horizontal="center"/>
      <protection locked="0"/>
    </xf>
    <xf numFmtId="165" fontId="23" fillId="0" borderId="0" xfId="0" applyNumberFormat="1" applyFont="1" applyFill="1" applyAlignment="1" applyProtection="1">
      <alignment horizontal="center"/>
      <protection locked="0"/>
    </xf>
    <xf numFmtId="0" fontId="45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47" fillId="0" borderId="0" xfId="0" applyFont="1" applyAlignment="1" applyProtection="1">
      <alignment horizontal="center"/>
    </xf>
    <xf numFmtId="0" fontId="46" fillId="0" borderId="0" xfId="0" applyFont="1" applyAlignment="1" applyProtection="1">
      <alignment horizontal="left"/>
    </xf>
    <xf numFmtId="0" fontId="48" fillId="0" borderId="0" xfId="0" applyFont="1" applyProtection="1"/>
    <xf numFmtId="0" fontId="49" fillId="0" borderId="0" xfId="0" applyFont="1" applyProtection="1"/>
    <xf numFmtId="0" fontId="50" fillId="0" borderId="0" xfId="0" applyFont="1"/>
    <xf numFmtId="0" fontId="14" fillId="0" borderId="0" xfId="0" applyFont="1"/>
    <xf numFmtId="0" fontId="41" fillId="0" borderId="0" xfId="0" applyFont="1" applyAlignment="1"/>
    <xf numFmtId="0" fontId="0" fillId="5" borderId="0" xfId="0" applyFill="1"/>
    <xf numFmtId="171" fontId="25" fillId="5" borderId="0" xfId="0" applyNumberFormat="1" applyFont="1" applyFill="1" applyProtection="1"/>
    <xf numFmtId="171" fontId="44" fillId="5" borderId="0" xfId="0" applyNumberFormat="1" applyFont="1" applyFill="1" applyProtection="1"/>
    <xf numFmtId="0" fontId="0" fillId="5" borderId="0" xfId="0" applyFill="1" applyProtection="1"/>
    <xf numFmtId="0" fontId="0" fillId="0" borderId="0" xfId="0" applyNumberFormat="1"/>
    <xf numFmtId="169" fontId="32" fillId="0" borderId="8" xfId="0" applyNumberFormat="1" applyFont="1" applyFill="1" applyBorder="1" applyAlignment="1">
      <alignment horizontal="right" vertical="center"/>
    </xf>
    <xf numFmtId="169" fontId="32" fillId="0" borderId="4" xfId="0" applyNumberFormat="1" applyFont="1" applyFill="1" applyBorder="1" applyAlignment="1">
      <alignment horizontal="right" vertical="center"/>
    </xf>
    <xf numFmtId="0" fontId="32" fillId="0" borderId="10" xfId="0" applyFont="1" applyFill="1" applyBorder="1" applyAlignment="1">
      <alignment horizontal="left" vertical="center" indent="1"/>
    </xf>
    <xf numFmtId="169" fontId="32" fillId="0" borderId="14" xfId="0" applyNumberFormat="1" applyFont="1" applyFill="1" applyBorder="1" applyAlignment="1">
      <alignment horizontal="right" vertical="center"/>
    </xf>
    <xf numFmtId="0" fontId="32" fillId="0" borderId="1" xfId="0" applyFont="1" applyFill="1" applyBorder="1" applyAlignment="1">
      <alignment horizontal="left" vertical="center" indent="1"/>
    </xf>
    <xf numFmtId="0" fontId="32" fillId="0" borderId="1" xfId="0" applyFont="1" applyBorder="1" applyAlignment="1">
      <alignment horizontal="left" vertical="center" indent="1"/>
    </xf>
    <xf numFmtId="14" fontId="37" fillId="0" borderId="0" xfId="0" applyNumberFormat="1" applyFont="1"/>
    <xf numFmtId="0" fontId="32" fillId="0" borderId="16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1" xfId="0" applyBorder="1"/>
    <xf numFmtId="0" fontId="0" fillId="0" borderId="17" xfId="0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left" vertical="center" indent="1"/>
    </xf>
    <xf numFmtId="169" fontId="32" fillId="0" borderId="24" xfId="0" applyNumberFormat="1" applyFont="1" applyBorder="1" applyAlignment="1">
      <alignment horizontal="right" vertical="center"/>
    </xf>
    <xf numFmtId="0" fontId="0" fillId="0" borderId="25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 applyFill="1" applyBorder="1" applyAlignment="1">
      <alignment horizontal="right" indent="1"/>
    </xf>
    <xf numFmtId="0" fontId="52" fillId="0" borderId="0" xfId="1"/>
    <xf numFmtId="0" fontId="0" fillId="0" borderId="0" xfId="0" applyFill="1" applyBorder="1" applyAlignment="1" applyProtection="1">
      <alignment horizontal="left" vertical="center"/>
    </xf>
    <xf numFmtId="0" fontId="17" fillId="0" borderId="0" xfId="0" applyFont="1"/>
    <xf numFmtId="0" fontId="0" fillId="0" borderId="0" xfId="0" applyBorder="1"/>
    <xf numFmtId="0" fontId="0" fillId="0" borderId="0" xfId="0" applyFill="1" applyBorder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 applyAlignment="1">
      <alignment horizontal="righ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 applyProtection="1">
      <alignment horizontal="right" vertical="center"/>
    </xf>
    <xf numFmtId="0" fontId="17" fillId="0" borderId="0" xfId="0" applyFont="1" applyBorder="1" applyAlignment="1">
      <alignment horizontal="right" vertical="center"/>
    </xf>
    <xf numFmtId="1" fontId="17" fillId="0" borderId="0" xfId="0" applyNumberFormat="1" applyFont="1" applyBorder="1" applyAlignment="1">
      <alignment horizontal="right" vertical="center"/>
    </xf>
    <xf numFmtId="2" fontId="17" fillId="0" borderId="0" xfId="0" applyNumberFormat="1" applyFont="1" applyBorder="1" applyAlignment="1">
      <alignment horizontal="right" vertical="center"/>
    </xf>
    <xf numFmtId="0" fontId="0" fillId="0" borderId="26" xfId="0" applyBorder="1"/>
    <xf numFmtId="0" fontId="0" fillId="0" borderId="0" xfId="0" applyBorder="1" applyAlignment="1" applyProtection="1">
      <alignment vertical="center"/>
    </xf>
    <xf numFmtId="0" fontId="18" fillId="0" borderId="0" xfId="0" applyFont="1" applyBorder="1" applyAlignment="1" applyProtection="1">
      <alignment vertical="center"/>
    </xf>
    <xf numFmtId="0" fontId="52" fillId="0" borderId="0" xfId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0" fontId="0" fillId="0" borderId="27" xfId="0" applyBorder="1"/>
    <xf numFmtId="0" fontId="0" fillId="5" borderId="0" xfId="0" applyFill="1" applyBorder="1"/>
    <xf numFmtId="0" fontId="54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0" fontId="55" fillId="0" borderId="7" xfId="0" applyFont="1" applyBorder="1" applyAlignment="1">
      <alignment horizontal="center" vertical="center"/>
    </xf>
    <xf numFmtId="168" fontId="17" fillId="0" borderId="0" xfId="0" applyNumberFormat="1" applyFont="1" applyBorder="1" applyAlignment="1">
      <alignment horizontal="right" vertical="center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1" fontId="10" fillId="5" borderId="0" xfId="0" applyNumberFormat="1" applyFont="1" applyFill="1" applyBorder="1" applyProtection="1">
      <protection locked="0"/>
    </xf>
    <xf numFmtId="0" fontId="10" fillId="5" borderId="0" xfId="0" applyFont="1" applyFill="1" applyBorder="1" applyProtection="1">
      <protection locked="0"/>
    </xf>
    <xf numFmtId="0" fontId="10" fillId="5" borderId="0" xfId="0" applyFont="1" applyFill="1" applyProtection="1">
      <protection locked="0"/>
    </xf>
    <xf numFmtId="0" fontId="12" fillId="5" borderId="0" xfId="0" applyFont="1" applyFill="1" applyProtection="1">
      <protection locked="0"/>
    </xf>
    <xf numFmtId="171" fontId="12" fillId="5" borderId="0" xfId="0" applyNumberFormat="1" applyFont="1" applyFill="1" applyProtection="1">
      <protection locked="0"/>
    </xf>
    <xf numFmtId="0" fontId="25" fillId="5" borderId="0" xfId="0" applyFont="1" applyFill="1" applyProtection="1">
      <protection locked="0"/>
    </xf>
    <xf numFmtId="171" fontId="25" fillId="5" borderId="0" xfId="0" applyNumberFormat="1" applyFont="1" applyFill="1" applyProtection="1">
      <protection locked="0"/>
    </xf>
    <xf numFmtId="171" fontId="44" fillId="5" borderId="0" xfId="0" applyNumberFormat="1" applyFont="1" applyFill="1" applyProtection="1">
      <protection locked="0"/>
    </xf>
    <xf numFmtId="0" fontId="19" fillId="5" borderId="0" xfId="0" applyFont="1" applyFill="1" applyProtection="1">
      <protection locked="0"/>
    </xf>
    <xf numFmtId="0" fontId="22" fillId="5" borderId="0" xfId="0" applyFont="1" applyFill="1" applyProtection="1">
      <protection locked="0"/>
    </xf>
    <xf numFmtId="0" fontId="45" fillId="5" borderId="0" xfId="0" applyFont="1" applyFill="1" applyProtection="1">
      <protection locked="0"/>
    </xf>
    <xf numFmtId="0" fontId="0" fillId="5" borderId="0" xfId="0" applyFill="1" applyBorder="1" applyProtection="1">
      <protection locked="0"/>
    </xf>
    <xf numFmtId="0" fontId="0" fillId="0" borderId="29" xfId="0" applyBorder="1" applyAlignment="1">
      <alignment horizontal="right" vertical="center"/>
    </xf>
    <xf numFmtId="0" fontId="7" fillId="6" borderId="10" xfId="0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center" vertical="center" wrapText="1"/>
    </xf>
    <xf numFmtId="0" fontId="13" fillId="6" borderId="14" xfId="0" applyFont="1" applyFill="1" applyBorder="1" applyAlignment="1" applyProtection="1">
      <alignment horizontal="center" vertical="center"/>
    </xf>
    <xf numFmtId="0" fontId="18" fillId="6" borderId="14" xfId="0" applyFont="1" applyFill="1" applyBorder="1" applyAlignment="1">
      <alignment horizontal="center" vertical="center" wrapText="1"/>
    </xf>
    <xf numFmtId="49" fontId="18" fillId="6" borderId="14" xfId="0" applyNumberFormat="1" applyFont="1" applyFill="1" applyBorder="1" applyAlignment="1">
      <alignment horizontal="center" vertical="center" wrapText="1"/>
    </xf>
    <xf numFmtId="0" fontId="17" fillId="6" borderId="30" xfId="0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 applyProtection="1">
      <alignment horizontal="center" vertical="center"/>
    </xf>
    <xf numFmtId="171" fontId="15" fillId="0" borderId="4" xfId="0" applyNumberFormat="1" applyFont="1" applyFill="1" applyBorder="1" applyAlignment="1" applyProtection="1">
      <alignment horizontal="center" vertic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71" fontId="15" fillId="2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1" fontId="6" fillId="4" borderId="7" xfId="0" applyNumberFormat="1" applyFont="1" applyFill="1" applyBorder="1" applyAlignment="1" applyProtection="1">
      <alignment horizontal="center"/>
      <protection locked="0"/>
    </xf>
    <xf numFmtId="1" fontId="8" fillId="4" borderId="33" xfId="0" applyNumberFormat="1" applyFont="1" applyFill="1" applyBorder="1" applyAlignment="1" applyProtection="1">
      <alignment horizontal="center"/>
      <protection locked="0"/>
    </xf>
    <xf numFmtId="171" fontId="8" fillId="4" borderId="13" xfId="0" applyNumberFormat="1" applyFont="1" applyFill="1" applyBorder="1" applyAlignment="1" applyProtection="1">
      <alignment horizontal="center"/>
      <protection locked="0"/>
    </xf>
    <xf numFmtId="1" fontId="27" fillId="4" borderId="33" xfId="0" applyNumberFormat="1" applyFont="1" applyFill="1" applyBorder="1" applyAlignment="1" applyProtection="1">
      <alignment horizontal="center"/>
      <protection locked="0"/>
    </xf>
    <xf numFmtId="171" fontId="27" fillId="4" borderId="13" xfId="0" applyNumberFormat="1" applyFont="1" applyFill="1" applyBorder="1" applyAlignment="1" applyProtection="1">
      <alignment horizontal="center"/>
      <protection locked="0"/>
    </xf>
    <xf numFmtId="2" fontId="9" fillId="4" borderId="34" xfId="0" applyNumberFormat="1" applyFont="1" applyFill="1" applyBorder="1" applyAlignment="1" applyProtection="1">
      <alignment horizontal="center"/>
      <protection locked="0"/>
    </xf>
    <xf numFmtId="164" fontId="9" fillId="4" borderId="34" xfId="0" applyNumberFormat="1" applyFont="1" applyFill="1" applyBorder="1" applyAlignment="1" applyProtection="1">
      <alignment horizontal="center"/>
      <protection locked="0"/>
    </xf>
    <xf numFmtId="165" fontId="11" fillId="4" borderId="7" xfId="0" applyNumberFormat="1" applyFont="1" applyFill="1" applyBorder="1" applyAlignment="1" applyProtection="1">
      <alignment horizontal="center"/>
      <protection locked="0"/>
    </xf>
    <xf numFmtId="1" fontId="11" fillId="4" borderId="28" xfId="0" applyNumberFormat="1" applyFont="1" applyFill="1" applyBorder="1" applyAlignment="1" applyProtection="1">
      <alignment horizontal="center"/>
      <protection locked="0"/>
    </xf>
    <xf numFmtId="1" fontId="23" fillId="4" borderId="33" xfId="0" applyNumberFormat="1" applyFont="1" applyFill="1" applyBorder="1" applyAlignment="1" applyProtection="1">
      <alignment horizontal="center"/>
      <protection locked="0"/>
    </xf>
    <xf numFmtId="165" fontId="23" fillId="4" borderId="13" xfId="0" applyNumberFormat="1" applyFont="1" applyFill="1" applyBorder="1" applyAlignment="1" applyProtection="1">
      <alignment horizontal="center"/>
      <protection locked="0"/>
    </xf>
    <xf numFmtId="171" fontId="9" fillId="4" borderId="33" xfId="0" applyNumberFormat="1" applyFont="1" applyFill="1" applyBorder="1" applyAlignment="1" applyProtection="1">
      <alignment horizontal="center"/>
      <protection locked="0"/>
    </xf>
    <xf numFmtId="171" fontId="11" fillId="4" borderId="13" xfId="0" applyNumberFormat="1" applyFont="1" applyFill="1" applyBorder="1" applyAlignment="1" applyProtection="1">
      <alignment horizontal="center"/>
      <protection locked="0"/>
    </xf>
    <xf numFmtId="171" fontId="6" fillId="4" borderId="7" xfId="0" applyNumberFormat="1" applyFont="1" applyFill="1" applyBorder="1" applyAlignment="1" applyProtection="1">
      <alignment horizontal="center"/>
      <protection locked="0"/>
    </xf>
    <xf numFmtId="1" fontId="6" fillId="4" borderId="13" xfId="0" applyNumberFormat="1" applyFont="1" applyFill="1" applyBorder="1" applyAlignment="1" applyProtection="1">
      <alignment horizontal="center" vertical="center"/>
      <protection locked="0"/>
    </xf>
    <xf numFmtId="0" fontId="17" fillId="4" borderId="35" xfId="0" applyFont="1" applyFill="1" applyBorder="1" applyAlignment="1" applyProtection="1">
      <alignment vertical="center"/>
      <protection locked="0"/>
    </xf>
    <xf numFmtId="2" fontId="30" fillId="4" borderId="35" xfId="0" applyNumberFormat="1" applyFont="1" applyFill="1" applyBorder="1" applyAlignment="1" applyProtection="1">
      <alignment vertical="center"/>
    </xf>
    <xf numFmtId="2" fontId="30" fillId="4" borderId="35" xfId="0" applyNumberFormat="1" applyFont="1" applyFill="1" applyBorder="1" applyAlignment="1" applyProtection="1">
      <alignment horizontal="right" vertical="center"/>
    </xf>
    <xf numFmtId="2" fontId="29" fillId="4" borderId="35" xfId="0" applyNumberFormat="1" applyFont="1" applyFill="1" applyBorder="1" applyAlignment="1" applyProtection="1">
      <alignment vertical="center"/>
      <protection locked="0"/>
    </xf>
    <xf numFmtId="0" fontId="17" fillId="4" borderId="35" xfId="0" applyFont="1" applyFill="1" applyBorder="1" applyAlignment="1" applyProtection="1">
      <alignment horizontal="right" vertical="center"/>
      <protection locked="0"/>
    </xf>
    <xf numFmtId="2" fontId="29" fillId="4" borderId="35" xfId="0" applyNumberFormat="1" applyFont="1" applyFill="1" applyBorder="1" applyAlignment="1" applyProtection="1">
      <alignment vertical="center"/>
    </xf>
    <xf numFmtId="9" fontId="29" fillId="4" borderId="35" xfId="0" applyNumberFormat="1" applyFont="1" applyFill="1" applyBorder="1" applyAlignment="1" applyProtection="1">
      <alignment vertical="center"/>
      <protection locked="0"/>
    </xf>
    <xf numFmtId="0" fontId="51" fillId="4" borderId="34" xfId="0" applyFont="1" applyFill="1" applyBorder="1" applyAlignment="1" applyProtection="1">
      <alignment horizontal="center"/>
      <protection locked="0"/>
    </xf>
    <xf numFmtId="0" fontId="17" fillId="4" borderId="34" xfId="0" applyFont="1" applyFill="1" applyBorder="1" applyAlignment="1" applyProtection="1">
      <alignment horizontal="right" vertical="center"/>
      <protection locked="0"/>
    </xf>
    <xf numFmtId="9" fontId="17" fillId="0" borderId="0" xfId="2" applyFont="1" applyBorder="1"/>
    <xf numFmtId="9" fontId="17" fillId="0" borderId="7" xfId="2" applyFont="1" applyBorder="1" applyAlignment="1">
      <alignment horizontal="right" vertical="center"/>
    </xf>
    <xf numFmtId="9" fontId="17" fillId="0" borderId="13" xfId="2" applyFont="1" applyBorder="1" applyAlignment="1">
      <alignment vertical="center"/>
    </xf>
    <xf numFmtId="9" fontId="17" fillId="0" borderId="7" xfId="2" applyFont="1" applyBorder="1" applyAlignment="1">
      <alignment vertical="center"/>
    </xf>
    <xf numFmtId="1" fontId="17" fillId="0" borderId="0" xfId="2" applyNumberFormat="1" applyFont="1" applyBorder="1" applyAlignment="1">
      <alignment vertical="center"/>
    </xf>
    <xf numFmtId="164" fontId="17" fillId="0" borderId="0" xfId="0" applyNumberFormat="1" applyFont="1" applyBorder="1" applyAlignment="1">
      <alignment horizontal="right" vertical="center"/>
    </xf>
    <xf numFmtId="0" fontId="9" fillId="0" borderId="0" xfId="0" applyFont="1" applyAlignment="1" applyProtection="1">
      <alignment vertical="center"/>
    </xf>
    <xf numFmtId="9" fontId="17" fillId="0" borderId="0" xfId="2" applyFont="1"/>
    <xf numFmtId="0" fontId="17" fillId="0" borderId="0" xfId="0" applyFont="1" applyFill="1" applyBorder="1" applyAlignment="1">
      <alignment horizontal="left" vertical="center"/>
    </xf>
    <xf numFmtId="0" fontId="17" fillId="6" borderId="14" xfId="0" applyFont="1" applyFill="1" applyBorder="1" applyAlignment="1">
      <alignment horizontal="center" vertical="center" wrapText="1"/>
    </xf>
    <xf numFmtId="0" fontId="59" fillId="0" borderId="0" xfId="0" applyFont="1" applyProtection="1"/>
    <xf numFmtId="0" fontId="60" fillId="0" borderId="0" xfId="0" applyFont="1" applyProtection="1"/>
    <xf numFmtId="0" fontId="62" fillId="0" borderId="0" xfId="0" applyFont="1" applyProtection="1"/>
    <xf numFmtId="0" fontId="56" fillId="0" borderId="7" xfId="0" applyFont="1" applyBorder="1" applyAlignment="1">
      <alignment horizontal="center" vertical="center"/>
    </xf>
    <xf numFmtId="171" fontId="25" fillId="5" borderId="31" xfId="0" applyNumberFormat="1" applyFont="1" applyFill="1" applyBorder="1" applyProtection="1"/>
    <xf numFmtId="171" fontId="15" fillId="2" borderId="9" xfId="0" applyNumberFormat="1" applyFont="1" applyFill="1" applyBorder="1" applyAlignment="1" applyProtection="1">
      <alignment horizontal="center" vertical="center"/>
    </xf>
    <xf numFmtId="167" fontId="3" fillId="2" borderId="9" xfId="0" applyNumberFormat="1" applyFont="1" applyFill="1" applyBorder="1" applyAlignment="1" applyProtection="1">
      <alignment horizontal="center" vertical="center"/>
    </xf>
    <xf numFmtId="1" fontId="61" fillId="4" borderId="33" xfId="0" applyNumberFormat="1" applyFont="1" applyFill="1" applyBorder="1" applyAlignment="1" applyProtection="1">
      <alignment horizontal="center"/>
      <protection locked="0"/>
    </xf>
    <xf numFmtId="171" fontId="61" fillId="4" borderId="13" xfId="0" applyNumberFormat="1" applyFont="1" applyFill="1" applyBorder="1" applyAlignment="1" applyProtection="1">
      <alignment horizontal="center"/>
      <protection locked="0"/>
    </xf>
    <xf numFmtId="1" fontId="6" fillId="4" borderId="33" xfId="0" applyNumberFormat="1" applyFont="1" applyFill="1" applyBorder="1" applyAlignment="1" applyProtection="1">
      <alignment horizontal="center"/>
      <protection locked="0"/>
    </xf>
    <xf numFmtId="171" fontId="6" fillId="4" borderId="13" xfId="0" applyNumberFormat="1" applyFont="1" applyFill="1" applyBorder="1" applyAlignment="1" applyProtection="1">
      <alignment horizontal="center"/>
      <protection locked="0"/>
    </xf>
    <xf numFmtId="0" fontId="42" fillId="0" borderId="0" xfId="0" applyFont="1" applyAlignment="1">
      <alignment horizontal="left" vertical="center"/>
    </xf>
    <xf numFmtId="0" fontId="3" fillId="0" borderId="4" xfId="0" applyFont="1" applyBorder="1" applyAlignment="1" applyProtection="1">
      <alignment vertical="center"/>
    </xf>
    <xf numFmtId="171" fontId="25" fillId="5" borderId="32" xfId="0" applyNumberFormat="1" applyFont="1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26" fillId="0" borderId="4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2" borderId="2" xfId="0" applyFill="1" applyBorder="1" applyAlignment="1">
      <alignment vertical="center"/>
    </xf>
    <xf numFmtId="1" fontId="13" fillId="2" borderId="1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Fill="1" applyBorder="1" applyAlignment="1" applyProtection="1">
      <alignment horizontal="center" vertical="center"/>
    </xf>
    <xf numFmtId="172" fontId="3" fillId="3" borderId="4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Border="1" applyAlignment="1" applyProtection="1">
      <alignment horizontal="center" vertical="center"/>
    </xf>
    <xf numFmtId="2" fontId="3" fillId="3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 vertical="center"/>
    </xf>
    <xf numFmtId="168" fontId="0" fillId="0" borderId="4" xfId="0" applyNumberFormat="1" applyBorder="1" applyAlignment="1" applyProtection="1">
      <alignment vertical="center"/>
    </xf>
    <xf numFmtId="168" fontId="32" fillId="4" borderId="4" xfId="0" applyNumberFormat="1" applyFont="1" applyFill="1" applyBorder="1" applyAlignment="1" applyProtection="1">
      <alignment vertical="center"/>
    </xf>
    <xf numFmtId="9" fontId="1" fillId="3" borderId="4" xfId="0" applyNumberFormat="1" applyFont="1" applyFill="1" applyBorder="1" applyAlignment="1" applyProtection="1">
      <alignment horizontal="right" vertical="center"/>
    </xf>
    <xf numFmtId="9" fontId="0" fillId="0" borderId="4" xfId="0" applyNumberFormat="1" applyBorder="1" applyAlignment="1" applyProtection="1">
      <alignment vertical="center"/>
    </xf>
    <xf numFmtId="172" fontId="0" fillId="3" borderId="4" xfId="0" applyNumberFormat="1" applyFill="1" applyBorder="1" applyAlignment="1" applyProtection="1">
      <alignment vertical="center"/>
    </xf>
    <xf numFmtId="9" fontId="0" fillId="3" borderId="4" xfId="0" applyNumberFormat="1" applyFill="1" applyBorder="1" applyAlignment="1" applyProtection="1">
      <alignment vertical="center"/>
    </xf>
    <xf numFmtId="169" fontId="0" fillId="0" borderId="4" xfId="0" applyNumberFormat="1" applyBorder="1" applyAlignment="1">
      <alignment vertical="center"/>
    </xf>
    <xf numFmtId="170" fontId="31" fillId="4" borderId="4" xfId="0" applyNumberFormat="1" applyFont="1" applyFill="1" applyBorder="1" applyAlignment="1">
      <alignment vertical="center"/>
    </xf>
    <xf numFmtId="9" fontId="0" fillId="0" borderId="4" xfId="0" applyNumberFormat="1" applyBorder="1" applyAlignment="1">
      <alignment horizontal="right" vertical="center"/>
    </xf>
    <xf numFmtId="171" fontId="32" fillId="4" borderId="4" xfId="0" applyNumberFormat="1" applyFont="1" applyFill="1" applyBorder="1" applyAlignment="1">
      <alignment vertical="center"/>
    </xf>
    <xf numFmtId="1" fontId="0" fillId="0" borderId="4" xfId="0" applyNumberFormat="1" applyBorder="1" applyAlignment="1">
      <alignment horizontal="right" vertical="center"/>
    </xf>
    <xf numFmtId="1" fontId="13" fillId="2" borderId="2" xfId="0" applyNumberFormat="1" applyFont="1" applyFill="1" applyBorder="1" applyAlignment="1" applyProtection="1">
      <alignment horizontal="center" vertical="center"/>
    </xf>
    <xf numFmtId="172" fontId="3" fillId="2" borderId="4" xfId="0" applyNumberFormat="1" applyFont="1" applyFill="1" applyBorder="1" applyAlignment="1" applyProtection="1">
      <alignment horizontal="center" vertical="center"/>
    </xf>
    <xf numFmtId="2" fontId="3" fillId="5" borderId="32" xfId="0" applyNumberFormat="1" applyFont="1" applyFill="1" applyBorder="1" applyAlignment="1" applyProtection="1">
      <alignment horizontal="center" vertical="center"/>
    </xf>
    <xf numFmtId="2" fontId="3" fillId="2" borderId="4" xfId="0" applyNumberFormat="1" applyFont="1" applyFill="1" applyBorder="1" applyAlignment="1" applyProtection="1">
      <alignment horizontal="center" vertical="center"/>
    </xf>
    <xf numFmtId="0" fontId="0" fillId="5" borderId="32" xfId="0" applyFill="1" applyBorder="1" applyAlignment="1" applyProtection="1">
      <alignment vertical="center"/>
    </xf>
    <xf numFmtId="168" fontId="0" fillId="2" borderId="4" xfId="0" applyNumberFormat="1" applyFill="1" applyBorder="1" applyAlignment="1" applyProtection="1">
      <alignment vertical="center"/>
    </xf>
    <xf numFmtId="168" fontId="32" fillId="2" borderId="4" xfId="0" applyNumberFormat="1" applyFont="1" applyFill="1" applyBorder="1" applyAlignment="1" applyProtection="1">
      <alignment vertical="center"/>
    </xf>
    <xf numFmtId="9" fontId="1" fillId="2" borderId="4" xfId="0" applyNumberFormat="1" applyFont="1" applyFill="1" applyBorder="1" applyAlignment="1" applyProtection="1">
      <alignment horizontal="right" vertical="center"/>
    </xf>
    <xf numFmtId="0" fontId="0" fillId="2" borderId="4" xfId="0" applyFill="1" applyBorder="1" applyAlignment="1" applyProtection="1">
      <alignment vertical="center"/>
    </xf>
    <xf numFmtId="9" fontId="0" fillId="2" borderId="4" xfId="0" applyNumberFormat="1" applyFill="1" applyBorder="1" applyAlignment="1" applyProtection="1">
      <alignment vertical="center"/>
    </xf>
    <xf numFmtId="172" fontId="0" fillId="2" borderId="4" xfId="0" applyNumberFormat="1" applyFill="1" applyBorder="1" applyAlignment="1" applyProtection="1">
      <alignment vertical="center"/>
    </xf>
    <xf numFmtId="0" fontId="0" fillId="5" borderId="32" xfId="0" applyFill="1" applyBorder="1" applyAlignment="1">
      <alignment vertical="center"/>
    </xf>
    <xf numFmtId="169" fontId="0" fillId="2" borderId="4" xfId="0" applyNumberFormat="1" applyFill="1" applyBorder="1" applyAlignment="1">
      <alignment vertical="center"/>
    </xf>
    <xf numFmtId="170" fontId="31" fillId="2" borderId="4" xfId="0" applyNumberFormat="1" applyFont="1" applyFill="1" applyBorder="1" applyAlignment="1">
      <alignment vertical="center"/>
    </xf>
    <xf numFmtId="9" fontId="0" fillId="2" borderId="4" xfId="0" applyNumberFormat="1" applyFill="1" applyBorder="1" applyAlignment="1">
      <alignment horizontal="right" vertical="center"/>
    </xf>
    <xf numFmtId="9" fontId="0" fillId="5" borderId="32" xfId="0" applyNumberFormat="1" applyFill="1" applyBorder="1" applyAlignment="1">
      <alignment vertical="center"/>
    </xf>
    <xf numFmtId="171" fontId="32" fillId="2" borderId="4" xfId="0" applyNumberFormat="1" applyFont="1" applyFill="1" applyBorder="1" applyAlignment="1">
      <alignment vertical="center"/>
    </xf>
    <xf numFmtId="1" fontId="0" fillId="2" borderId="4" xfId="0" applyNumberFormat="1" applyFill="1" applyBorder="1" applyAlignment="1">
      <alignment horizontal="right" vertical="center"/>
    </xf>
    <xf numFmtId="0" fontId="4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" fontId="13" fillId="2" borderId="5" xfId="0" applyNumberFormat="1" applyFont="1" applyFill="1" applyBorder="1" applyAlignment="1" applyProtection="1">
      <alignment horizontal="center" vertical="center"/>
    </xf>
    <xf numFmtId="172" fontId="3" fillId="2" borderId="9" xfId="0" applyNumberFormat="1" applyFont="1" applyFill="1" applyBorder="1" applyAlignment="1" applyProtection="1">
      <alignment horizontal="center" vertical="center"/>
    </xf>
    <xf numFmtId="2" fontId="3" fillId="5" borderId="19" xfId="0" applyNumberFormat="1" applyFont="1" applyFill="1" applyBorder="1" applyAlignment="1" applyProtection="1">
      <alignment horizontal="center" vertical="center"/>
    </xf>
    <xf numFmtId="2" fontId="3" fillId="2" borderId="9" xfId="0" applyNumberFormat="1" applyFont="1" applyFill="1" applyBorder="1" applyAlignment="1" applyProtection="1">
      <alignment horizontal="center" vertical="center"/>
    </xf>
    <xf numFmtId="0" fontId="0" fillId="5" borderId="19" xfId="0" applyFill="1" applyBorder="1" applyAlignment="1" applyProtection="1">
      <alignment vertical="center"/>
    </xf>
    <xf numFmtId="168" fontId="0" fillId="2" borderId="9" xfId="0" applyNumberFormat="1" applyFill="1" applyBorder="1" applyAlignment="1" applyProtection="1">
      <alignment vertical="center"/>
    </xf>
    <xf numFmtId="168" fontId="32" fillId="2" borderId="9" xfId="0" applyNumberFormat="1" applyFont="1" applyFill="1" applyBorder="1" applyAlignment="1" applyProtection="1">
      <alignment vertical="center"/>
    </xf>
    <xf numFmtId="9" fontId="1" fillId="2" borderId="9" xfId="0" applyNumberFormat="1" applyFont="1" applyFill="1" applyBorder="1" applyAlignment="1" applyProtection="1">
      <alignment horizontal="right" vertical="center"/>
    </xf>
    <xf numFmtId="0" fontId="0" fillId="2" borderId="9" xfId="0" applyFill="1" applyBorder="1" applyAlignment="1" applyProtection="1">
      <alignment vertical="center"/>
    </xf>
    <xf numFmtId="9" fontId="0" fillId="2" borderId="9" xfId="0" applyNumberFormat="1" applyFill="1" applyBorder="1" applyAlignment="1" applyProtection="1">
      <alignment vertical="center"/>
    </xf>
    <xf numFmtId="172" fontId="0" fillId="2" borderId="9" xfId="0" applyNumberFormat="1" applyFill="1" applyBorder="1" applyAlignment="1" applyProtection="1">
      <alignment vertical="center"/>
    </xf>
    <xf numFmtId="0" fontId="0" fillId="5" borderId="19" xfId="0" applyFill="1" applyBorder="1" applyAlignment="1">
      <alignment vertical="center"/>
    </xf>
    <xf numFmtId="169" fontId="0" fillId="2" borderId="9" xfId="0" applyNumberFormat="1" applyFill="1" applyBorder="1" applyAlignment="1">
      <alignment vertical="center"/>
    </xf>
    <xf numFmtId="170" fontId="31" fillId="2" borderId="9" xfId="0" applyNumberFormat="1" applyFont="1" applyFill="1" applyBorder="1" applyAlignment="1">
      <alignment vertical="center"/>
    </xf>
    <xf numFmtId="9" fontId="0" fillId="2" borderId="9" xfId="0" applyNumberFormat="1" applyFill="1" applyBorder="1" applyAlignment="1">
      <alignment horizontal="right" vertical="center"/>
    </xf>
    <xf numFmtId="9" fontId="0" fillId="5" borderId="19" xfId="0" applyNumberFormat="1" applyFill="1" applyBorder="1" applyAlignment="1">
      <alignment vertical="center"/>
    </xf>
    <xf numFmtId="171" fontId="32" fillId="2" borderId="9" xfId="0" applyNumberFormat="1" applyFont="1" applyFill="1" applyBorder="1" applyAlignment="1">
      <alignment vertical="center"/>
    </xf>
    <xf numFmtId="1" fontId="0" fillId="2" borderId="9" xfId="0" applyNumberFormat="1" applyFill="1" applyBorder="1" applyAlignment="1">
      <alignment horizontal="right" vertical="center"/>
    </xf>
    <xf numFmtId="1" fontId="13" fillId="2" borderId="6" xfId="0" applyNumberFormat="1" applyFont="1" applyFill="1" applyBorder="1" applyAlignment="1" applyProtection="1">
      <alignment horizontal="center" vertical="center"/>
    </xf>
    <xf numFmtId="10" fontId="0" fillId="0" borderId="4" xfId="2" applyNumberFormat="1" applyFont="1" applyBorder="1" applyAlignment="1" applyProtection="1">
      <alignment vertical="center"/>
    </xf>
    <xf numFmtId="10" fontId="0" fillId="2" borderId="4" xfId="2" applyNumberFormat="1" applyFont="1" applyFill="1" applyBorder="1" applyAlignment="1" applyProtection="1">
      <alignment vertical="center"/>
    </xf>
    <xf numFmtId="10" fontId="0" fillId="2" borderId="9" xfId="2" applyNumberFormat="1" applyFont="1" applyFill="1" applyBorder="1" applyAlignment="1" applyProtection="1">
      <alignment vertical="center"/>
    </xf>
    <xf numFmtId="1" fontId="17" fillId="0" borderId="7" xfId="2" applyNumberFormat="1" applyFont="1" applyBorder="1" applyProtection="1"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1" fontId="13" fillId="2" borderId="1" xfId="0" applyNumberFormat="1" applyFont="1" applyFill="1" applyBorder="1" applyAlignment="1" applyProtection="1">
      <alignment horizontal="center" vertical="center"/>
      <protection locked="0"/>
    </xf>
    <xf numFmtId="1" fontId="13" fillId="7" borderId="1" xfId="0" applyNumberFormat="1" applyFont="1" applyFill="1" applyBorder="1" applyAlignment="1" applyProtection="1">
      <alignment horizontal="center" vertical="center"/>
      <protection locked="0"/>
    </xf>
    <xf numFmtId="171" fontId="32" fillId="7" borderId="4" xfId="0" applyNumberFormat="1" applyFont="1" applyFill="1" applyBorder="1" applyAlignment="1">
      <alignment vertical="center"/>
    </xf>
    <xf numFmtId="1" fontId="13" fillId="7" borderId="2" xfId="0" applyNumberFormat="1" applyFont="1" applyFill="1" applyBorder="1" applyAlignment="1" applyProtection="1">
      <alignment horizontal="center" vertical="center"/>
    </xf>
    <xf numFmtId="0" fontId="17" fillId="6" borderId="36" xfId="0" applyFont="1" applyFill="1" applyBorder="1" applyAlignment="1">
      <alignment horizontal="center"/>
    </xf>
    <xf numFmtId="0" fontId="17" fillId="6" borderId="37" xfId="0" applyFont="1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17" fillId="6" borderId="36" xfId="0" applyFont="1" applyFill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12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0" fontId="13" fillId="6" borderId="15" xfId="0" applyFont="1" applyFill="1" applyBorder="1" applyAlignment="1" applyProtection="1">
      <alignment horizontal="center" vertical="center" wrapText="1"/>
    </xf>
    <xf numFmtId="0" fontId="13" fillId="6" borderId="38" xfId="0" applyFont="1" applyFill="1" applyBorder="1" applyAlignment="1" applyProtection="1">
      <alignment horizontal="center" vertical="center" wrapText="1"/>
    </xf>
    <xf numFmtId="0" fontId="40" fillId="6" borderId="15" xfId="0" applyFont="1" applyFill="1" applyBorder="1" applyAlignment="1" applyProtection="1">
      <alignment horizontal="center" vertical="center" wrapText="1"/>
    </xf>
    <xf numFmtId="0" fontId="40" fillId="6" borderId="38" xfId="0" applyFont="1" applyFill="1" applyBorder="1" applyAlignment="1" applyProtection="1">
      <alignment horizontal="center" vertical="center" wrapText="1"/>
    </xf>
    <xf numFmtId="0" fontId="17" fillId="6" borderId="15" xfId="0" applyFont="1" applyFill="1" applyBorder="1" applyAlignment="1">
      <alignment horizontal="center" vertical="center" wrapText="1"/>
    </xf>
    <xf numFmtId="0" fontId="17" fillId="6" borderId="38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104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8696B"/>
      <color rgb="FF63BE7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ru-RU"/>
              <a:t>График структуры сетки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0339404014223398E-2"/>
          <c:y val="6.2081087600675433E-2"/>
          <c:w val="0.86311127723650394"/>
          <c:h val="0.763920195290274"/>
        </c:manualLayout>
      </c:layout>
      <c:lineChart>
        <c:grouping val="standard"/>
        <c:varyColors val="0"/>
        <c:ser>
          <c:idx val="0"/>
          <c:order val="0"/>
          <c:tx>
            <c:v>Сетка</c:v>
          </c:tx>
          <c:spPr>
            <a:ln w="34925" cap="rnd">
              <a:solidFill>
                <a:srgbClr val="00B0F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18"/>
                <c:pt idx="0">
                  <c:v>0</c:v>
                </c:pt>
                <c:pt idx="1">
                  <c:v>14</c:v>
                </c:pt>
                <c:pt idx="2">
                  <c:v>28</c:v>
                </c:pt>
                <c:pt idx="3">
                  <c:v>42</c:v>
                </c:pt>
                <c:pt idx="4">
                  <c:v>56</c:v>
                </c:pt>
                <c:pt idx="5">
                  <c:v>70</c:v>
                </c:pt>
                <c:pt idx="6">
                  <c:v>84</c:v>
                </c:pt>
                <c:pt idx="7">
                  <c:v>110</c:v>
                </c:pt>
                <c:pt idx="8">
                  <c:v>148</c:v>
                </c:pt>
                <c:pt idx="9">
                  <c:v>198</c:v>
                </c:pt>
                <c:pt idx="10">
                  <c:v>256</c:v>
                </c:pt>
                <c:pt idx="11">
                  <c:v>322</c:v>
                </c:pt>
                <c:pt idx="12">
                  <c:v>396</c:v>
                </c:pt>
                <c:pt idx="13">
                  <c:v>478</c:v>
                </c:pt>
                <c:pt idx="14">
                  <c:v>568</c:v>
                </c:pt>
                <c:pt idx="15">
                  <c:v>666</c:v>
                </c:pt>
                <c:pt idx="16">
                  <c:v>772</c:v>
                </c:pt>
                <c:pt idx="17">
                  <c:v>886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[0]!ТР</c:f>
              <c:numCache>
                <c:formatCode>0;[Red]0</c:formatCode>
                <c:ptCount val="18"/>
                <c:pt idx="0">
                  <c:v>30</c:v>
                </c:pt>
                <c:pt idx="1">
                  <c:v>37</c:v>
                </c:pt>
                <c:pt idx="2">
                  <c:v>47</c:v>
                </c:pt>
                <c:pt idx="3">
                  <c:v>57</c:v>
                </c:pt>
                <c:pt idx="4">
                  <c:v>67</c:v>
                </c:pt>
                <c:pt idx="5">
                  <c:v>75</c:v>
                </c:pt>
                <c:pt idx="6">
                  <c:v>84</c:v>
                </c:pt>
                <c:pt idx="7">
                  <c:v>101</c:v>
                </c:pt>
                <c:pt idx="8">
                  <c:v>122</c:v>
                </c:pt>
                <c:pt idx="9">
                  <c:v>143</c:v>
                </c:pt>
                <c:pt idx="10">
                  <c:v>161</c:v>
                </c:pt>
                <c:pt idx="11">
                  <c:v>179</c:v>
                </c:pt>
                <c:pt idx="12">
                  <c:v>194</c:v>
                </c:pt>
                <c:pt idx="13">
                  <c:v>208</c:v>
                </c:pt>
                <c:pt idx="14">
                  <c:v>222</c:v>
                </c:pt>
                <c:pt idx="15">
                  <c:v>237</c:v>
                </c:pt>
                <c:pt idx="16">
                  <c:v>251</c:v>
                </c:pt>
                <c:pt idx="17">
                  <c:v>267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3"/>
          <c:tx>
            <c:v>Безубыток</c:v>
          </c:tx>
          <c:spPr>
            <a:ln w="34925" cap="rnd">
              <a:solidFill>
                <a:srgbClr val="00B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18"/>
                <c:pt idx="0">
                  <c:v>0</c:v>
                </c:pt>
                <c:pt idx="1">
                  <c:v>7</c:v>
                </c:pt>
                <c:pt idx="2">
                  <c:v>14</c:v>
                </c:pt>
                <c:pt idx="3">
                  <c:v>21</c:v>
                </c:pt>
                <c:pt idx="4">
                  <c:v>28</c:v>
                </c:pt>
                <c:pt idx="5">
                  <c:v>33</c:v>
                </c:pt>
                <c:pt idx="6">
                  <c:v>39</c:v>
                </c:pt>
                <c:pt idx="7">
                  <c:v>53</c:v>
                </c:pt>
                <c:pt idx="8">
                  <c:v>71</c:v>
                </c:pt>
                <c:pt idx="9">
                  <c:v>89</c:v>
                </c:pt>
                <c:pt idx="10">
                  <c:v>104</c:v>
                </c:pt>
                <c:pt idx="11">
                  <c:v>119</c:v>
                </c:pt>
                <c:pt idx="12">
                  <c:v>131</c:v>
                </c:pt>
                <c:pt idx="13">
                  <c:v>142</c:v>
                </c:pt>
                <c:pt idx="14">
                  <c:v>153</c:v>
                </c:pt>
                <c:pt idx="15">
                  <c:v>165</c:v>
                </c:pt>
                <c:pt idx="16">
                  <c:v>176</c:v>
                </c:pt>
                <c:pt idx="17">
                  <c:v>189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3823663"/>
        <c:axId val="1"/>
      </c:lineChart>
      <c:lineChart>
        <c:grouping val="standard"/>
        <c:varyColors val="0"/>
        <c:ser>
          <c:idx val="4"/>
          <c:order val="2"/>
          <c:tx>
            <c:v>Прибыль</c:v>
          </c:tx>
          <c:spPr>
            <a:ln w="34925" cap="rnd">
              <a:solidFill>
                <a:srgbClr val="FFC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18"/>
                <c:pt idx="0">
                  <c:v>9</c:v>
                </c:pt>
                <c:pt idx="1">
                  <c:v>18</c:v>
                </c:pt>
                <c:pt idx="2">
                  <c:v>29.7</c:v>
                </c:pt>
                <c:pt idx="3">
                  <c:v>43.2</c:v>
                </c:pt>
                <c:pt idx="4">
                  <c:v>58.5</c:v>
                </c:pt>
                <c:pt idx="5">
                  <c:v>79.8</c:v>
                </c:pt>
                <c:pt idx="6">
                  <c:v>103.5</c:v>
                </c:pt>
                <c:pt idx="7">
                  <c:v>134.4</c:v>
                </c:pt>
                <c:pt idx="8">
                  <c:v>183.6</c:v>
                </c:pt>
                <c:pt idx="9">
                  <c:v>264.60000000000002</c:v>
                </c:pt>
                <c:pt idx="10">
                  <c:v>393.3</c:v>
                </c:pt>
                <c:pt idx="11">
                  <c:v>594</c:v>
                </c:pt>
                <c:pt idx="12">
                  <c:v>919.8</c:v>
                </c:pt>
                <c:pt idx="13">
                  <c:v>1445.4</c:v>
                </c:pt>
                <c:pt idx="14">
                  <c:v>2283.9</c:v>
                </c:pt>
                <c:pt idx="15">
                  <c:v>3636</c:v>
                </c:pt>
                <c:pt idx="16">
                  <c:v>5812.5</c:v>
                </c:pt>
                <c:pt idx="17">
                  <c:v>9313.2000000000007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ser>
          <c:idx val="3"/>
          <c:order val="4"/>
          <c:tx>
            <c:v>Свободная маржа</c:v>
          </c:tx>
          <c:spPr>
            <a:ln w="34925" cap="rnd">
              <a:solidFill>
                <a:schemeClr val="tx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[0]!маржа</c:f>
              <c:numCache>
                <c:formatCode>0_ ;[Red]\-0\ </c:formatCode>
                <c:ptCount val="18"/>
                <c:pt idx="0">
                  <c:v>29993.54</c:v>
                </c:pt>
                <c:pt idx="1">
                  <c:v>29982.89</c:v>
                </c:pt>
                <c:pt idx="2">
                  <c:v>29968.03</c:v>
                </c:pt>
                <c:pt idx="3">
                  <c:v>29948.98</c:v>
                </c:pt>
                <c:pt idx="4">
                  <c:v>29925.72</c:v>
                </c:pt>
                <c:pt idx="5">
                  <c:v>29896.11</c:v>
                </c:pt>
                <c:pt idx="6">
                  <c:v>29860.9</c:v>
                </c:pt>
                <c:pt idx="7">
                  <c:v>29790.34</c:v>
                </c:pt>
                <c:pt idx="8">
                  <c:v>29666.73</c:v>
                </c:pt>
                <c:pt idx="9">
                  <c:v>29458.75</c:v>
                </c:pt>
                <c:pt idx="10">
                  <c:v>29131.51</c:v>
                </c:pt>
                <c:pt idx="11">
                  <c:v>28611.55</c:v>
                </c:pt>
                <c:pt idx="12">
                  <c:v>27777.81</c:v>
                </c:pt>
                <c:pt idx="13">
                  <c:v>26423.51</c:v>
                </c:pt>
                <c:pt idx="14">
                  <c:v>24211.49</c:v>
                </c:pt>
                <c:pt idx="15">
                  <c:v>20593.240000000002</c:v>
                </c:pt>
                <c:pt idx="16">
                  <c:v>14659.2</c:v>
                </c:pt>
                <c:pt idx="17">
                  <c:v>4922.51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1933823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baseline="0"/>
                  <a:t>№ </a:t>
                </a:r>
                <a:r>
                  <a:rPr lang="ru-RU" sz="700" baseline="0"/>
                  <a:t>колен</a:t>
                </a:r>
              </a:p>
            </c:rich>
          </c:tx>
          <c:layout>
            <c:manualLayout>
              <c:xMode val="edge"/>
              <c:yMode val="edge"/>
              <c:x val="2.8073333607093194E-2"/>
              <c:y val="0.826004892245612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Пипсы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;[Red]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3382366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majorTickMark val="none"/>
        <c:minorTickMark val="none"/>
        <c:tickLblPos val="nextTo"/>
        <c:crossAx val="4"/>
        <c:crosses val="autoZero"/>
        <c:auto val="1"/>
        <c:lblAlgn val="ctr"/>
        <c:lblOffset val="100"/>
        <c:noMultiLvlLbl val="0"/>
      </c:catAx>
      <c:valAx>
        <c:axId val="4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дОллары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Spin" dx="22" fmlaLink="$C$7" max="30000" page="10" val="3"/>
</file>

<file path=xl/ctrlProps/ctrlProp2.xml><?xml version="1.0" encoding="utf-8"?>
<formControlPr xmlns="http://schemas.microsoft.com/office/spreadsheetml/2009/9/main" objectType="Spin" dx="22" fmlaLink="$C$10" max="30000" page="10" val="0"/>
</file>

<file path=xl/ctrlProps/ctrlProp3.xml><?xml version="1.0" encoding="utf-8"?>
<formControlPr xmlns="http://schemas.microsoft.com/office/spreadsheetml/2009/9/main" objectType="Spin" dx="22" fmlaLink="$C$3" max="30000" page="10" val="30"/>
</file>

<file path=xl/ctrlProps/ctrlProp4.xml><?xml version="1.0" encoding="utf-8"?>
<formControlPr xmlns="http://schemas.microsoft.com/office/spreadsheetml/2009/9/main" objectType="Spin" dx="22" fmlaLink="$G$3" max="30000" page="10" val="14"/>
</file>

<file path=xl/ctrlProps/ctrlProp5.xml><?xml version="1.0" encoding="utf-8"?>
<formControlPr xmlns="http://schemas.microsoft.com/office/spreadsheetml/2009/9/main" objectType="Spin" dx="22" fmlaLink="$K$7" max="30000" page="10" val="4"/>
</file>

<file path=xl/ctrlProps/ctrlProp6.xml><?xml version="1.0" encoding="utf-8"?>
<formControlPr xmlns="http://schemas.microsoft.com/office/spreadsheetml/2009/9/main" objectType="Spin" dx="22" fmlaLink="$K$10" max="30000" page="10" val="8"/>
</file>

<file path=xl/ctrlProps/ctrlProp7.xml><?xml version="1.0" encoding="utf-8"?>
<formControlPr xmlns="http://schemas.microsoft.com/office/spreadsheetml/2009/9/main" objectType="Spin" dx="22" fmlaLink="$K$13" max="30000" page="10" val="9"/>
</file>

<file path=xl/ctrlProps/ctrlProp8.xml><?xml version="1.0" encoding="utf-8"?>
<formControlPr xmlns="http://schemas.microsoft.com/office/spreadsheetml/2009/9/main" objectType="Spin" dx="22" fmlaLink="$P$10" inc="500" max="30000" page="10" val="30000"/>
</file>

<file path=xl/ctrlProps/ctrlProp9.xml><?xml version="1.0" encoding="utf-8"?>
<formControlPr xmlns="http://schemas.microsoft.com/office/spreadsheetml/2009/9/main" objectType="Spin" dx="22" fmlaLink="$K$5" max="30000" page="10" val="3"/>
</file>

<file path=xl/ctrlProps/ctrlProp10.xml><?xml version="1.0" encoding="utf-8"?>
<formControlPr xmlns="http://schemas.microsoft.com/office/spreadsheetml/2009/9/main" objectType="Spin" dx="22" fmlaLink="$G$7" max="30000" page="10" val="8"/>
</file>

<file path=xl/ctrlProps/ctrlProp11.xml><?xml version="1.0" encoding="utf-8"?>
<formControlPr xmlns="http://schemas.microsoft.com/office/spreadsheetml/2009/9/main" objectType="Spin" dx="22" fmlaLink="$G$10" max="30000" page="10" val="11"/>
</file>

<file path=xl/ctrlProps/ctrlProp12.xml><?xml version="1.0" encoding="utf-8"?>
<formControlPr xmlns="http://schemas.microsoft.com/office/spreadsheetml/2009/9/main" objectType="Spin" dx="22" fmlaLink="$G$13" max="30000" page="10" val="28"/>
</file>

<file path=xl/ctrlProps/ctrlProp13.xml><?xml version="1.0" encoding="utf-8"?>
<formControlPr xmlns="http://schemas.microsoft.com/office/spreadsheetml/2009/9/main" objectType="Spin" dx="22" fmlaLink="$C$13" max="30000" page="10" val="0"/>
</file>

<file path=xl/ctrlProps/ctrlProp14.xml><?xml version="1.0" encoding="utf-8"?>
<formControlPr xmlns="http://schemas.microsoft.com/office/spreadsheetml/2009/9/main" objectType="Spin" dx="22" fmlaLink="$G$11" max="30000" page="10" val="8"/>
</file>

<file path=xl/ctrlProps/ctrlProp15.xml><?xml version="1.0" encoding="utf-8"?>
<formControlPr xmlns="http://schemas.microsoft.com/office/spreadsheetml/2009/9/main" objectType="Spin" dx="22" fmlaLink="$G$8" max="30000" page="10" val="12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200026</xdr:colOff>
      <xdr:row>2</xdr:row>
      <xdr:rowOff>1</xdr:rowOff>
    </xdr:from>
    <xdr:to>
      <xdr:col>20</xdr:col>
      <xdr:colOff>209551</xdr:colOff>
      <xdr:row>11</xdr:row>
      <xdr:rowOff>76201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77176" y="323851"/>
          <a:ext cx="17907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u-RU" sz="1100" b="1" u="sng"/>
            <a:t>В разработке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1364</xdr:colOff>
          <xdr:row>2</xdr:row>
          <xdr:rowOff>13199</xdr:rowOff>
        </xdr:from>
        <xdr:to>
          <xdr:col>15</xdr:col>
          <xdr:colOff>9525</xdr:colOff>
          <xdr:row>12</xdr:row>
          <xdr:rowOff>190570</xdr:rowOff>
        </xdr:to>
        <xdr:grpSp>
          <xdr:nvGrpSpPr>
            <xdr:cNvPr id="7" name="Группа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1658714" y="346574"/>
              <a:ext cx="5704111" cy="2158571"/>
              <a:chOff x="1654632" y="346572"/>
              <a:chExt cx="5716357" cy="2136806"/>
            </a:xfrm>
          </xdr:grpSpPr>
          <xdr:sp macro="" textlink="">
            <xdr:nvSpPr>
              <xdr:cNvPr id="1280" name="Spinner 256" hidden="1">
                <a:extLst>
                  <a:ext uri="{63B3BB69-23CF-44E3-9099-C40C66FF867C}">
                    <a14:compatExt spid="_x0000_s1280"/>
                  </a:ext>
                  <a:ext uri="{FF2B5EF4-FFF2-40B4-BE49-F238E27FC236}">
                    <a16:creationId xmlns:a16="http://schemas.microsoft.com/office/drawing/2014/main" id="{00000000-0008-0000-0000-000000050000}"/>
                  </a:ext>
                </a:extLst>
              </xdr:cNvPr>
              <xdr:cNvSpPr/>
            </xdr:nvSpPr>
            <xdr:spPr bwMode="auto">
              <a:xfrm>
                <a:off x="6189889" y="1700893"/>
                <a:ext cx="1181100" cy="1905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1" name="Spinner 227" hidden="1">
                <a:extLst>
                  <a:ext uri="{63B3BB69-23CF-44E3-9099-C40C66FF867C}">
                    <a14:compatExt spid="_x0000_s1251"/>
                  </a:ext>
                  <a:ext uri="{FF2B5EF4-FFF2-40B4-BE49-F238E27FC236}">
                    <a16:creationId xmlns:a16="http://schemas.microsoft.com/office/drawing/2014/main" id="{00000000-0008-0000-0000-0000E3040000}"/>
                  </a:ext>
                </a:extLst>
              </xdr:cNvPr>
              <xdr:cNvSpPr/>
            </xdr:nvSpPr>
            <xdr:spPr bwMode="auto">
              <a:xfrm>
                <a:off x="1654632" y="1115815"/>
                <a:ext cx="112541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2" name="Spinner 228" hidden="1">
                <a:extLst>
                  <a:ext uri="{63B3BB69-23CF-44E3-9099-C40C66FF867C}">
                    <a14:compatExt spid="_x0000_s1252"/>
                  </a:ext>
                  <a:ext uri="{FF2B5EF4-FFF2-40B4-BE49-F238E27FC236}">
                    <a16:creationId xmlns:a16="http://schemas.microsoft.com/office/drawing/2014/main" id="{00000000-0008-0000-0000-0000E4040000}"/>
                  </a:ext>
                </a:extLst>
              </xdr:cNvPr>
              <xdr:cNvSpPr/>
            </xdr:nvSpPr>
            <xdr:spPr bwMode="auto">
              <a:xfrm>
                <a:off x="1655655" y="1714396"/>
                <a:ext cx="112541" cy="17751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3" name="Spinner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1655596" y="346572"/>
                <a:ext cx="112541" cy="178688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4" name="Spinner 230" hidden="1">
                <a:extLst>
                  <a:ext uri="{63B3BB69-23CF-44E3-9099-C40C66FF867C}">
                    <a14:compatExt spid="_x0000_s1254"/>
                  </a:ext>
                  <a:ext uri="{FF2B5EF4-FFF2-40B4-BE49-F238E27FC236}">
                    <a16:creationId xmlns:a16="http://schemas.microsoft.com/office/drawing/2014/main" id="{00000000-0008-0000-0000-0000E6040000}"/>
                  </a:ext>
                </a:extLst>
              </xdr:cNvPr>
              <xdr:cNvSpPr/>
            </xdr:nvSpPr>
            <xdr:spPr bwMode="auto">
              <a:xfrm>
                <a:off x="3432146" y="351726"/>
                <a:ext cx="112541" cy="17224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8" name="Spinner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5538840" y="1116954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9" name="Spinner 235" hidden="1">
                <a:extLst>
                  <a:ext uri="{63B3BB69-23CF-44E3-9099-C40C66FF867C}">
                    <a14:compatExt spid="_x0000_s1259"/>
                  </a:ext>
                  <a:ext uri="{FF2B5EF4-FFF2-40B4-BE49-F238E27FC236}">
                    <a16:creationId xmlns:a16="http://schemas.microsoft.com/office/drawing/2014/main" id="{00000000-0008-0000-0000-0000EB040000}"/>
                  </a:ext>
                </a:extLst>
              </xdr:cNvPr>
              <xdr:cNvSpPr/>
            </xdr:nvSpPr>
            <xdr:spPr bwMode="auto">
              <a:xfrm>
                <a:off x="5538836" y="1714391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61" name="Spinner 237" hidden="1">
                <a:extLst>
                  <a:ext uri="{63B3BB69-23CF-44E3-9099-C40C66FF867C}">
                    <a14:compatExt spid="_x0000_s1261"/>
                  </a:ext>
                  <a:ext uri="{FF2B5EF4-FFF2-40B4-BE49-F238E27FC236}">
                    <a16:creationId xmlns:a16="http://schemas.microsoft.com/office/drawing/2014/main" id="{00000000-0008-0000-0000-0000ED040000}"/>
                  </a:ext>
                </a:extLst>
              </xdr:cNvPr>
              <xdr:cNvSpPr/>
            </xdr:nvSpPr>
            <xdr:spPr bwMode="auto">
              <a:xfrm>
                <a:off x="5538835" y="2304142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90" name="Spinner 266" hidden="1">
                <a:extLst>
                  <a:ext uri="{63B3BB69-23CF-44E3-9099-C40C66FF867C}">
                    <a14:compatExt spid="_x0000_s1290"/>
                  </a:ext>
                  <a:ext uri="{FF2B5EF4-FFF2-40B4-BE49-F238E27FC236}">
                    <a16:creationId xmlns:a16="http://schemas.microsoft.com/office/drawing/2014/main" id="{00000000-0008-0000-0000-00000A050000}"/>
                  </a:ext>
                </a:extLst>
              </xdr:cNvPr>
              <xdr:cNvSpPr/>
            </xdr:nvSpPr>
            <xdr:spPr bwMode="auto">
              <a:xfrm>
                <a:off x="5539143" y="728111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5" name="Spinner 291" hidden="1">
                <a:extLst>
                  <a:ext uri="{63B3BB69-23CF-44E3-9099-C40C66FF867C}">
                    <a14:compatExt spid="_x0000_s1315"/>
                  </a:ext>
                  <a:ext uri="{FF2B5EF4-FFF2-40B4-BE49-F238E27FC236}">
                    <a16:creationId xmlns:a16="http://schemas.microsoft.com/office/drawing/2014/main" id="{00000000-0008-0000-0000-000023050000}"/>
                  </a:ext>
                </a:extLst>
              </xdr:cNvPr>
              <xdr:cNvSpPr/>
            </xdr:nvSpPr>
            <xdr:spPr bwMode="auto">
              <a:xfrm>
                <a:off x="3432543" y="1119068"/>
                <a:ext cx="112445" cy="17849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6" name="Spinner 292" hidden="1">
                <a:extLst>
                  <a:ext uri="{63B3BB69-23CF-44E3-9099-C40C66FF867C}">
                    <a14:compatExt spid="_x0000_s1316"/>
                  </a:ext>
                  <a:ext uri="{FF2B5EF4-FFF2-40B4-BE49-F238E27FC236}">
                    <a16:creationId xmlns:a16="http://schemas.microsoft.com/office/drawing/2014/main" id="{00000000-0008-0000-0000-000024050000}"/>
                  </a:ext>
                </a:extLst>
              </xdr:cNvPr>
              <xdr:cNvSpPr/>
            </xdr:nvSpPr>
            <xdr:spPr bwMode="auto">
              <a:xfrm>
                <a:off x="3432540" y="1715541"/>
                <a:ext cx="112445" cy="17732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7" name="Spinner 293" hidden="1">
                <a:extLst>
                  <a:ext uri="{63B3BB69-23CF-44E3-9099-C40C66FF867C}">
                    <a14:compatExt spid="_x0000_s1317"/>
                  </a:ext>
                  <a:ext uri="{FF2B5EF4-FFF2-40B4-BE49-F238E27FC236}">
                    <a16:creationId xmlns:a16="http://schemas.microsoft.com/office/drawing/2014/main" id="{00000000-0008-0000-0000-000025050000}"/>
                  </a:ext>
                </a:extLst>
              </xdr:cNvPr>
              <xdr:cNvSpPr/>
            </xdr:nvSpPr>
            <xdr:spPr bwMode="auto">
              <a:xfrm>
                <a:off x="3432542" y="2299522"/>
                <a:ext cx="112445" cy="17849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62" name="Spinner 338" hidden="1">
                <a:extLst>
                  <a:ext uri="{63B3BB69-23CF-44E3-9099-C40C66FF867C}">
                    <a14:compatExt spid="_x0000_s1362"/>
                  </a:ext>
                  <a:ext uri="{FF2B5EF4-FFF2-40B4-BE49-F238E27FC236}">
                    <a16:creationId xmlns:a16="http://schemas.microsoft.com/office/drawing/2014/main" id="{00000000-0008-0000-0000-000052050000}"/>
                  </a:ext>
                </a:extLst>
              </xdr:cNvPr>
              <xdr:cNvSpPr/>
            </xdr:nvSpPr>
            <xdr:spPr bwMode="auto">
              <a:xfrm>
                <a:off x="1657667" y="2304413"/>
                <a:ext cx="108576" cy="17896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8</xdr:col>
          <xdr:colOff>0</xdr:colOff>
          <xdr:row>10</xdr:row>
          <xdr:rowOff>180975</xdr:rowOff>
        </xdr:to>
        <xdr:sp macro="" textlink="">
          <xdr:nvSpPr>
            <xdr:cNvPr id="1392" name="Spinner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8</xdr:col>
          <xdr:colOff>0</xdr:colOff>
          <xdr:row>7</xdr:row>
          <xdr:rowOff>180975</xdr:rowOff>
        </xdr:to>
        <xdr:sp macro="" textlink="">
          <xdr:nvSpPr>
            <xdr:cNvPr id="1393" name="Spinner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9525</xdr:colOff>
      <xdr:row>42</xdr:row>
      <xdr:rowOff>142875</xdr:rowOff>
    </xdr:to>
    <xdr:graphicFrame macro="">
      <xdr:nvGraphicFramePr>
        <xdr:cNvPr id="2" name="Диаграмма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7" totalsRowShown="0" tableBorderDxfId="13">
  <autoFilter ref="A9:E37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H122"/>
  <sheetViews>
    <sheetView tabSelected="1" zoomScaleNormal="100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K4" sqref="K4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8.7109375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8.140625" customWidth="1"/>
    <col min="14" max="14" width="8.5703125" customWidth="1"/>
    <col min="15" max="15" width="9" customWidth="1"/>
    <col min="16" max="16" width="8.5703125" customWidth="1"/>
    <col min="17" max="17" width="7.42578125" customWidth="1"/>
    <col min="18" max="18" width="6.85546875" customWidth="1"/>
    <col min="19" max="19" width="5.7109375" customWidth="1"/>
    <col min="20" max="20" width="6.7109375" customWidth="1"/>
    <col min="21" max="21" width="5.7109375" customWidth="1"/>
    <col min="22" max="22" width="1.7109375" customWidth="1"/>
    <col min="23" max="23" width="9.7109375" customWidth="1"/>
    <col min="24" max="24" width="11.42578125" customWidth="1"/>
    <col min="25" max="25" width="9.5703125" customWidth="1"/>
    <col min="26" max="26" width="7.5703125" customWidth="1"/>
    <col min="27" max="27" width="1.7109375" customWidth="1"/>
    <col min="28" max="28" width="10.42578125" customWidth="1"/>
    <col min="29" max="29" width="9.85546875" customWidth="1"/>
    <col min="30" max="31" width="7.7109375" customWidth="1"/>
    <col min="32" max="32" width="4.42578125" customWidth="1"/>
  </cols>
  <sheetData>
    <row r="1" spans="1:34" x14ac:dyDescent="0.2">
      <c r="A1" s="237" t="s">
        <v>116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86"/>
      <c r="M1" s="237" t="s">
        <v>119</v>
      </c>
      <c r="N1" s="237"/>
      <c r="O1" s="237"/>
      <c r="P1" s="238"/>
      <c r="Q1" s="237" t="s">
        <v>118</v>
      </c>
      <c r="R1" s="239"/>
      <c r="S1" s="239"/>
      <c r="T1" s="239"/>
      <c r="U1" s="239"/>
      <c r="V1" s="86"/>
      <c r="W1" s="240" t="s">
        <v>117</v>
      </c>
      <c r="X1" s="240"/>
      <c r="Y1" s="240"/>
      <c r="Z1" s="240"/>
      <c r="AA1" s="240"/>
      <c r="AB1" s="240"/>
      <c r="AC1" s="240"/>
      <c r="AD1" s="240"/>
      <c r="AE1" s="240"/>
      <c r="AF1" s="240"/>
    </row>
    <row r="2" spans="1:34" ht="13.5" thickBot="1" x14ac:dyDescent="0.25">
      <c r="C2" s="91"/>
      <c r="D2" s="92"/>
      <c r="G2" s="91"/>
      <c r="H2" s="92"/>
      <c r="I2" s="34" t="s">
        <v>49</v>
      </c>
      <c r="J2" s="33" t="str">
        <f>IF(K$2=0,"LastOrder",IF(K$2=1,"MinOrder","ОШИБКА"))</f>
        <v>LastOrder</v>
      </c>
      <c r="K2" s="140">
        <v>0</v>
      </c>
      <c r="L2" s="39"/>
      <c r="M2" s="78" t="s">
        <v>23</v>
      </c>
      <c r="N2" s="78"/>
      <c r="O2" s="78"/>
      <c r="P2" s="141" t="s">
        <v>88</v>
      </c>
      <c r="Q2" s="67"/>
      <c r="R2" s="67"/>
      <c r="S2" s="67"/>
      <c r="T2" s="67"/>
      <c r="U2" s="67"/>
      <c r="V2" s="36"/>
      <c r="W2" s="65" t="s">
        <v>125</v>
      </c>
      <c r="X2" s="68"/>
      <c r="Y2" s="70"/>
      <c r="Z2" s="73">
        <f>INDEX($G$17:$G$116,MATCH(0,$AB$17:$AB$116,-1))</f>
        <v>886</v>
      </c>
      <c r="AA2" s="70"/>
      <c r="AB2" s="144">
        <f>Z2/P5</f>
        <v>11.03912285073511</v>
      </c>
      <c r="AC2" s="72" t="s">
        <v>108</v>
      </c>
      <c r="AD2" s="71"/>
      <c r="AE2" s="74">
        <f>MATCH(0,$AB$17:$AB$116,-1)</f>
        <v>18</v>
      </c>
      <c r="AG2" s="71"/>
      <c r="AH2" s="67"/>
    </row>
    <row r="3" spans="1:34" ht="15.75" thickBot="1" x14ac:dyDescent="0.3">
      <c r="A3" s="4" t="s">
        <v>17</v>
      </c>
      <c r="B3" s="2"/>
      <c r="C3" s="118">
        <v>30</v>
      </c>
      <c r="D3" s="93"/>
      <c r="E3" s="4" t="s">
        <v>10</v>
      </c>
      <c r="F3" s="9"/>
      <c r="G3" s="118">
        <v>14</v>
      </c>
      <c r="H3" s="93"/>
      <c r="I3" s="4" t="s">
        <v>0</v>
      </c>
      <c r="J3" s="29" t="str">
        <f>IF(K$3&lt;0,"д.б. &gt;0","")</f>
        <v/>
      </c>
      <c r="K3" s="123">
        <v>0.03</v>
      </c>
      <c r="L3" s="39"/>
      <c r="M3" s="78" t="s">
        <v>24</v>
      </c>
      <c r="N3" s="78"/>
      <c r="O3" s="78"/>
      <c r="P3" s="133">
        <v>4</v>
      </c>
      <c r="Q3" s="67"/>
      <c r="R3" s="67"/>
      <c r="S3" s="67"/>
      <c r="T3" s="67"/>
      <c r="U3" s="67"/>
      <c r="V3" s="36"/>
      <c r="W3" s="65" t="s">
        <v>135</v>
      </c>
      <c r="X3" s="70"/>
      <c r="Y3" s="70"/>
      <c r="Z3" s="90">
        <f>SUMPRODUCT($A$17:INDEX($A$17:$A$116,MATCH(0,$AB$17:$AB$116,-1)),$M$17:INDEX($M$17:$M$116,MATCH(0,$AB$17:$AB$116,-1)))/SUM($A$17:INDEX($A$17:$A$116,MATCH(0,$AB$17:$AB$116,-1)))</f>
        <v>2395.9543859649125</v>
      </c>
      <c r="AA3" s="70"/>
      <c r="AB3" s="143">
        <f>$Z$3/$P$10</f>
        <v>7.9865146198830422E-2</v>
      </c>
      <c r="AC3" s="65" t="s">
        <v>107</v>
      </c>
      <c r="AD3" s="70"/>
      <c r="AE3" s="75">
        <f>SUMPRODUCT($A$17:INDEX($A$17:$A$116,MATCH(0,$AB$17:$AB$116,-1)),$F$17:INDEX($F$17:$F$116,MATCH(0,$AB$17:$AB$116,-1)))/SUM($A$17:INDEX($A$17:$A$116,MATCH(0,$AB$17:$AB$116,-1)))</f>
        <v>68.654970760233923</v>
      </c>
      <c r="AF3" s="67"/>
    </row>
    <row r="4" spans="1:34" ht="15.75" thickBot="1" x14ac:dyDescent="0.3">
      <c r="A4" s="4"/>
      <c r="B4" s="2"/>
      <c r="C4" s="8"/>
      <c r="D4" s="94"/>
      <c r="E4" s="4"/>
      <c r="F4" s="9"/>
      <c r="G4" s="7"/>
      <c r="H4" s="94"/>
      <c r="I4" s="4" t="s">
        <v>1</v>
      </c>
      <c r="J4" s="29" t="str">
        <f>IF(K$4&lt;0,"д.б. &gt;0","")</f>
        <v/>
      </c>
      <c r="K4" s="124">
        <v>1</v>
      </c>
      <c r="L4" s="92"/>
      <c r="M4" s="79" t="s">
        <v>25</v>
      </c>
      <c r="N4" s="79"/>
      <c r="O4" s="78"/>
      <c r="P4" s="134">
        <f>IF(P3=4,VLOOKUP($P$2,Таблица3[[Валютная пара]:[Цена пункта, $]],3,),(VLOOKUP($P$2,Таблица3[[Валютная пара]:[Цена пункта, $]],3,))/10)</f>
        <v>10</v>
      </c>
      <c r="Q4" s="67"/>
      <c r="R4" s="67"/>
      <c r="S4" s="67"/>
      <c r="T4" s="67"/>
      <c r="U4" s="67"/>
      <c r="V4" s="36"/>
      <c r="W4" s="65" t="s">
        <v>134</v>
      </c>
      <c r="X4" s="70"/>
      <c r="Y4" s="70"/>
      <c r="Z4" s="90">
        <f>SUMPRODUCT($A$17:INDEX($A$17:$A$116,MATCH(0,$AB$17:$AB$116,-1)),$X$17:INDEX($X$17:$X$116,MATCH(0,$AB$17:$AB$116,-1)))/SUM($A$17:INDEX($A$17:$A$116,MATCH(0,$AB$17:$AB$116,-1)))</f>
        <v>6240.3314035087715</v>
      </c>
      <c r="AA4" s="70"/>
      <c r="AB4" s="145">
        <f>$Z$4/$P$10</f>
        <v>0.20801104678362572</v>
      </c>
      <c r="AC4" s="69" t="s">
        <v>8</v>
      </c>
      <c r="AD4" s="70"/>
      <c r="AE4" s="147">
        <f>SUMPRODUCT($A$17:INDEX($A$17:$A$116,MATCH(0,$AB$17:$AB$116,-1)),$I$17:INDEX($I$17:$I$116,MATCH(0,$AB$17:$AB$116,-1)))/SUM($A$17:INDEX($A$17:$A$116,MATCH(0,$AB$17:$AB$116,-1)))</f>
        <v>1.458187134502924</v>
      </c>
    </row>
    <row r="5" spans="1:34" ht="15" customHeight="1" thickBot="1" x14ac:dyDescent="0.45">
      <c r="A5" s="4"/>
      <c r="B5" s="2"/>
      <c r="C5" s="8"/>
      <c r="D5" s="94"/>
      <c r="E5" s="4"/>
      <c r="F5" s="9"/>
      <c r="G5" s="8"/>
      <c r="H5" s="94"/>
      <c r="I5" s="148" t="s">
        <v>6</v>
      </c>
      <c r="J5" s="29" t="str">
        <f>IF(K$5&lt;2,"д.б. &gt;1","")</f>
        <v/>
      </c>
      <c r="K5" s="132">
        <v>3</v>
      </c>
      <c r="L5" s="92"/>
      <c r="M5" s="80" t="str">
        <f>HYPERLINK("http://ru.investing.com/tools/forex-volatility-calculator","Волатильность")</f>
        <v>Волатильность</v>
      </c>
      <c r="N5" s="80"/>
      <c r="O5" s="79"/>
      <c r="P5" s="135" t="str">
        <f>IFERROR(IF(P3=4,IFERROR(VLOOKUP($P$2,Table_0[[Валюта]:[Пипсы]],2,),VLOOKUP($P$2,Table_1[[Валюта]:[Пипсы]],2,)),(IFERROR(VLOOKUP($P$2,Table_0[[Валюта]:[Пипсы]],2,),VLOOKUP($P$2,Table_1[[Валюта]:[Пипсы]],2,)))*10),"Ошибка")</f>
        <v>80,26</v>
      </c>
      <c r="Q5" s="67"/>
      <c r="R5" s="67"/>
      <c r="S5" s="67"/>
      <c r="T5" s="67"/>
      <c r="U5" s="67"/>
      <c r="V5" s="36"/>
      <c r="W5" s="65" t="s">
        <v>122</v>
      </c>
      <c r="X5" s="71"/>
      <c r="Y5" s="71"/>
      <c r="Z5" s="74"/>
      <c r="AA5" s="71"/>
      <c r="AB5" s="145">
        <f>$Z$3/$Z$4</f>
        <v>0.3839466578037396</v>
      </c>
      <c r="AC5" s="69" t="s">
        <v>9</v>
      </c>
      <c r="AD5" s="70"/>
      <c r="AE5" s="76">
        <f>SUMPRODUCT($A$17:INDEX($A$17:$A$116,MATCH(0,$AB$17:$AB$116,-1)),$J$17:INDEX($J$17:$J$116,MATCH(0,$AB$17:$AB$116,-1)))/SUM($A$17:INDEX($A$17:$A$116,MATCH(0,$AB$17:$AB$116,-1)))</f>
        <v>1.1188421052631579</v>
      </c>
      <c r="AH5" s="35"/>
    </row>
    <row r="6" spans="1:34" ht="15" customHeight="1" thickBot="1" x14ac:dyDescent="0.45">
      <c r="A6" s="5"/>
      <c r="B6" s="2"/>
      <c r="C6" s="16"/>
      <c r="D6" s="95"/>
      <c r="E6" s="5"/>
      <c r="F6" s="9"/>
      <c r="G6" s="1"/>
      <c r="H6" s="95"/>
      <c r="I6" s="5"/>
      <c r="J6" s="29"/>
      <c r="K6" s="1"/>
      <c r="L6" s="101"/>
      <c r="M6" s="81" t="s">
        <v>27</v>
      </c>
      <c r="N6" s="81"/>
      <c r="O6" s="82"/>
      <c r="P6" s="136">
        <v>0</v>
      </c>
      <c r="Q6" s="67"/>
      <c r="R6" s="67"/>
      <c r="S6" s="67"/>
      <c r="T6" s="67"/>
      <c r="U6" s="67"/>
      <c r="V6" s="36"/>
      <c r="W6" s="65" t="s">
        <v>127</v>
      </c>
      <c r="X6" s="68"/>
      <c r="Y6" s="68"/>
      <c r="Z6" s="75">
        <f>SUMPRODUCT($A$17:INDEX($A$17:$A$116,MATCH(0,$AB$17:$AB$116,-1)),$R$17:INDEX($R$17:$R$116,MATCH(0,$AB$17:$AB$116,-1)))/SUM($A$17:INDEX($A$17:$A$116,MATCH(0,$AB$17:$AB$116,-1)))</f>
        <v>118.69005847953217</v>
      </c>
      <c r="AA6" s="68"/>
      <c r="AB6" s="145">
        <f>SUMPRODUCT($A$17:INDEX($A$17:$A$116,MATCH(0,$AB$17:$AB$116,-1)),$S$17:INDEX($S$17:$S$116,MATCH(0,$AB$17:$AB$116,-1)))/SUM($A$17:INDEX($A$17:$A$116,MATCH(0,$AB$17:$AB$116,-1)))</f>
        <v>0.34432748538011693</v>
      </c>
      <c r="AC6" s="69" t="s">
        <v>106</v>
      </c>
      <c r="AD6" s="71"/>
      <c r="AE6" s="74">
        <f>INDEX($K$17:$K$116,MATCH(0,$AB$17:$AB$116,-1))</f>
        <v>11.940000000000001</v>
      </c>
      <c r="AH6" s="35"/>
    </row>
    <row r="7" spans="1:34" ht="15.75" thickBot="1" x14ac:dyDescent="0.3">
      <c r="A7" s="31" t="s">
        <v>18</v>
      </c>
      <c r="B7" s="3"/>
      <c r="C7" s="119">
        <v>3</v>
      </c>
      <c r="D7" s="96"/>
      <c r="E7" s="31" t="s">
        <v>11</v>
      </c>
      <c r="F7" s="11"/>
      <c r="G7" s="119">
        <v>8</v>
      </c>
      <c r="H7" s="96"/>
      <c r="I7" s="31" t="s">
        <v>2</v>
      </c>
      <c r="J7" s="29" t="str">
        <f>IF(K$7&lt;0,"д.б. &gt;=0","")</f>
        <v/>
      </c>
      <c r="K7" s="126">
        <v>4</v>
      </c>
      <c r="L7" s="101"/>
      <c r="M7" s="81" t="s">
        <v>120</v>
      </c>
      <c r="N7" s="81"/>
      <c r="O7" s="87" t="s">
        <v>121</v>
      </c>
      <c r="P7" s="137"/>
      <c r="Q7" s="67"/>
      <c r="R7" s="67"/>
      <c r="S7" s="67"/>
      <c r="T7" s="67"/>
      <c r="U7" s="67"/>
      <c r="V7" s="36"/>
      <c r="W7" s="65" t="s">
        <v>128</v>
      </c>
      <c r="X7" s="71"/>
      <c r="Y7" s="71"/>
      <c r="Z7" s="75">
        <f>SUMPRODUCT($A$17:INDEX($A$17:$A$116,MATCH(0,$AB$17:$AB$116,-1)),$T$17:INDEX($T$17:$T$116,MATCH(0,$AB$17:$AB$116,-1)))/SUM($A$17:INDEX($A$17:$A$116,MATCH(0,$AB$17:$AB$116,-1)))</f>
        <v>179.70760233918128</v>
      </c>
      <c r="AA7" s="105"/>
      <c r="AB7" s="145">
        <f>SUMPRODUCT($A$17:INDEX($A$17:$A$116,MATCH(0,$AB$17:$AB$116,-1)),$U$17:INDEX($U$17:$U$116,MATCH(0,$AB$17:$AB$116,-1)))/SUM($A$17:INDEX($A$17:$A$116,MATCH(0,$AB$17:$AB$116,-1)))</f>
        <v>0.61941520467836264</v>
      </c>
      <c r="AC7" s="72" t="s">
        <v>126</v>
      </c>
      <c r="AE7" s="146">
        <f>INDEX($AD$17:$AD$116,MATCH(0,$AB$17:$AB$116,-1))</f>
        <v>60.595067001675041</v>
      </c>
      <c r="AH7" s="241">
        <v>1</v>
      </c>
    </row>
    <row r="8" spans="1:34" ht="15.75" thickBot="1" x14ac:dyDescent="0.3">
      <c r="A8" s="31" t="s">
        <v>19</v>
      </c>
      <c r="B8" s="3"/>
      <c r="C8" s="120">
        <v>3</v>
      </c>
      <c r="D8" s="97"/>
      <c r="E8" s="31" t="s">
        <v>12</v>
      </c>
      <c r="F8" s="11"/>
      <c r="G8" s="120">
        <v>12</v>
      </c>
      <c r="H8" s="97"/>
      <c r="I8" s="31" t="s">
        <v>3</v>
      </c>
      <c r="J8" s="29" t="str">
        <f>IF(AND(K$7=0,K$8&lt;&gt;0),"д.б. =0","")</f>
        <v/>
      </c>
      <c r="K8" s="125">
        <v>2.5000000000000001E-2</v>
      </c>
      <c r="L8" s="101"/>
      <c r="M8" s="81" t="s">
        <v>26</v>
      </c>
      <c r="N8" s="81"/>
      <c r="O8" s="82"/>
      <c r="P8" s="138">
        <f>VLOOKUP($P$2,Таблица3[[Валютная пара]:[Цена пункта, $]],2,)</f>
        <v>215.2</v>
      </c>
      <c r="Q8" s="67"/>
      <c r="R8" s="67"/>
      <c r="S8" s="67"/>
      <c r="T8" s="67"/>
      <c r="U8" s="67"/>
      <c r="V8" s="36"/>
      <c r="W8" s="65" t="s">
        <v>110</v>
      </c>
      <c r="X8" s="70"/>
      <c r="Y8" s="70"/>
      <c r="Z8" s="90">
        <f>INDEX($M$17:$M$116,MATCH(0,$AB$17:$AB$116,-1))</f>
        <v>9313.2000000000007</v>
      </c>
      <c r="AA8" s="70"/>
      <c r="AB8" s="145">
        <f>$Z$8/$P$10</f>
        <v>0.31044000000000005</v>
      </c>
      <c r="AC8" s="150" t="s">
        <v>129</v>
      </c>
      <c r="AE8" s="149">
        <f>INDEX($S$17:$S$116,MATCH(0,$AB$17:$AB$116,-1))</f>
        <v>0.21</v>
      </c>
      <c r="AH8" s="242"/>
    </row>
    <row r="9" spans="1:34" ht="15.75" thickBot="1" x14ac:dyDescent="0.3">
      <c r="A9" s="31"/>
      <c r="B9" s="3"/>
      <c r="C9" s="17"/>
      <c r="D9" s="96"/>
      <c r="E9" s="31"/>
      <c r="F9" s="11"/>
      <c r="G9" s="12"/>
      <c r="H9" s="96"/>
      <c r="I9" s="31"/>
      <c r="J9" s="30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K9" s="12"/>
      <c r="L9" s="102"/>
      <c r="M9" s="81" t="s">
        <v>28</v>
      </c>
      <c r="N9" s="81"/>
      <c r="O9" s="82"/>
      <c r="P9" s="139">
        <v>0.1</v>
      </c>
      <c r="Q9" s="67"/>
      <c r="R9" s="67"/>
      <c r="S9" s="67"/>
      <c r="T9" s="67"/>
      <c r="U9" s="67"/>
      <c r="V9" s="36"/>
      <c r="W9" s="65" t="s">
        <v>109</v>
      </c>
      <c r="X9" s="71"/>
      <c r="Y9" s="71"/>
      <c r="Z9" s="90">
        <f>INDEX($M$17:$M$116,1)</f>
        <v>9</v>
      </c>
      <c r="AA9" s="71"/>
      <c r="AC9" s="66" t="s">
        <v>130</v>
      </c>
      <c r="AE9" s="149">
        <f>INDEX($U$17:$U$116,MATCH(0,$AB$17:$AB$116,-1))</f>
        <v>0.3</v>
      </c>
      <c r="AH9" s="243"/>
    </row>
    <row r="10" spans="1:34" ht="15.75" thickBot="1" x14ac:dyDescent="0.3">
      <c r="A10" s="152" t="s">
        <v>131</v>
      </c>
      <c r="B10" s="153"/>
      <c r="C10" s="159">
        <v>0</v>
      </c>
      <c r="D10" s="98"/>
      <c r="E10" s="32" t="s">
        <v>13</v>
      </c>
      <c r="F10" s="13"/>
      <c r="G10" s="121">
        <v>11</v>
      </c>
      <c r="H10" s="98"/>
      <c r="I10" s="32" t="s">
        <v>4</v>
      </c>
      <c r="J10" s="29" t="str">
        <f>IF(K$10&lt;0,"д.б. &gt;=0","")</f>
        <v/>
      </c>
      <c r="K10" s="127">
        <v>8</v>
      </c>
      <c r="L10" s="102"/>
      <c r="M10" s="83" t="s">
        <v>29</v>
      </c>
      <c r="N10" s="83"/>
      <c r="O10" s="84"/>
      <c r="P10" s="231">
        <v>30000</v>
      </c>
      <c r="Q10" s="67"/>
      <c r="R10" s="67"/>
      <c r="S10" s="67"/>
      <c r="T10" s="67"/>
      <c r="U10" s="67"/>
      <c r="V10" s="36"/>
      <c r="AH10" s="23"/>
    </row>
    <row r="11" spans="1:34" ht="15.75" thickBot="1" x14ac:dyDescent="0.3">
      <c r="A11" s="152" t="s">
        <v>132</v>
      </c>
      <c r="B11" s="153"/>
      <c r="C11" s="160">
        <v>0</v>
      </c>
      <c r="D11" s="99"/>
      <c r="E11" s="32" t="s">
        <v>14</v>
      </c>
      <c r="F11" s="13"/>
      <c r="G11" s="122">
        <v>8</v>
      </c>
      <c r="H11" s="99"/>
      <c r="I11" s="32" t="s">
        <v>5</v>
      </c>
      <c r="J11" s="29" t="str">
        <f>IF(AND(K$10=0,K$11&lt;&gt;0),"д.б. =0","")</f>
        <v/>
      </c>
      <c r="K11" s="128">
        <v>0.22500000000000001</v>
      </c>
      <c r="L11" s="102"/>
      <c r="M11" s="67"/>
      <c r="N11" s="67"/>
      <c r="O11" s="67"/>
      <c r="P11" s="77"/>
      <c r="Q11" s="67"/>
      <c r="R11" s="67"/>
      <c r="S11" s="67"/>
      <c r="T11" s="67"/>
      <c r="U11" s="67"/>
      <c r="V11" s="36"/>
      <c r="AH11" s="23"/>
    </row>
    <row r="12" spans="1:34" ht="15.75" thickBot="1" x14ac:dyDescent="0.3">
      <c r="A12" s="14"/>
      <c r="B12" s="15"/>
      <c r="C12" s="25"/>
      <c r="D12" s="37"/>
      <c r="E12" s="14"/>
      <c r="F12" s="13"/>
      <c r="G12" s="25"/>
      <c r="H12" s="99"/>
      <c r="I12" s="14"/>
      <c r="J12" s="29"/>
      <c r="K12" s="26"/>
      <c r="L12" s="103"/>
      <c r="M12" s="67"/>
      <c r="N12" s="67"/>
      <c r="O12" s="67"/>
      <c r="P12" s="77"/>
      <c r="Q12" s="85"/>
      <c r="R12" s="67"/>
      <c r="S12" s="67"/>
      <c r="T12" s="67"/>
      <c r="U12" s="67"/>
      <c r="V12" s="86"/>
      <c r="AD12" s="67"/>
      <c r="AH12" s="23"/>
    </row>
    <row r="13" spans="1:34" ht="15.75" thickBot="1" x14ac:dyDescent="0.3">
      <c r="A13" s="154" t="s">
        <v>20</v>
      </c>
      <c r="B13" s="24"/>
      <c r="C13" s="161">
        <v>0</v>
      </c>
      <c r="D13" s="37"/>
      <c r="E13" s="4" t="s">
        <v>46</v>
      </c>
      <c r="F13" s="27"/>
      <c r="G13" s="131">
        <v>28</v>
      </c>
      <c r="H13" s="100"/>
      <c r="I13" s="4" t="s">
        <v>47</v>
      </c>
      <c r="J13" s="29" t="str">
        <f>IF(K$13&lt;0,"д.б. &gt;=0","")</f>
        <v/>
      </c>
      <c r="K13" s="129">
        <v>9</v>
      </c>
      <c r="L13" s="103"/>
      <c r="M13" s="67"/>
      <c r="N13" s="67"/>
      <c r="O13" s="67"/>
      <c r="P13" s="77"/>
      <c r="Q13" s="85"/>
      <c r="R13" s="67"/>
      <c r="S13" s="67"/>
      <c r="T13" s="67"/>
      <c r="U13" s="67"/>
      <c r="V13" s="86"/>
      <c r="AC13" s="142"/>
      <c r="AD13" s="67"/>
      <c r="AH13" s="23"/>
    </row>
    <row r="14" spans="1:34" ht="17.25" customHeight="1" thickBot="1" x14ac:dyDescent="0.3">
      <c r="A14" s="154" t="s">
        <v>21</v>
      </c>
      <c r="B14" s="24"/>
      <c r="C14" s="162">
        <v>0</v>
      </c>
      <c r="D14" s="37"/>
      <c r="E14" s="4"/>
      <c r="F14" s="27"/>
      <c r="G14" s="28"/>
      <c r="H14" s="38"/>
      <c r="I14" s="6" t="s">
        <v>50</v>
      </c>
      <c r="J14" s="29" t="str">
        <f>IF(K$14&lt;0,"д.б. &gt;=0","")</f>
        <v/>
      </c>
      <c r="K14" s="130">
        <v>0</v>
      </c>
      <c r="L14" s="104"/>
      <c r="M14" s="67"/>
      <c r="N14" s="67"/>
      <c r="O14" s="67"/>
      <c r="P14" s="77"/>
      <c r="Q14" s="85"/>
      <c r="R14" s="67"/>
      <c r="S14" s="67"/>
      <c r="T14" s="67"/>
      <c r="U14" s="67"/>
      <c r="V14" s="86"/>
      <c r="AH14" s="23"/>
    </row>
    <row r="15" spans="1:34" ht="63" customHeight="1" thickBot="1" x14ac:dyDescent="0.25">
      <c r="A15" s="106" t="s">
        <v>7</v>
      </c>
      <c r="B15" s="107" t="s">
        <v>48</v>
      </c>
      <c r="C15" s="108" t="s">
        <v>16</v>
      </c>
      <c r="D15" s="156"/>
      <c r="E15" s="107" t="s">
        <v>15</v>
      </c>
      <c r="F15" s="108" t="s">
        <v>36</v>
      </c>
      <c r="G15" s="108" t="s">
        <v>35</v>
      </c>
      <c r="H15" s="156"/>
      <c r="I15" s="108" t="s">
        <v>8</v>
      </c>
      <c r="J15" s="108" t="s">
        <v>9</v>
      </c>
      <c r="K15" s="108" t="s">
        <v>37</v>
      </c>
      <c r="L15" s="156"/>
      <c r="M15" s="244" t="s">
        <v>138</v>
      </c>
      <c r="N15" s="245"/>
      <c r="O15" s="109" t="s">
        <v>22</v>
      </c>
      <c r="P15" s="246" t="s">
        <v>102</v>
      </c>
      <c r="Q15" s="247"/>
      <c r="R15" s="244" t="s">
        <v>103</v>
      </c>
      <c r="S15" s="245"/>
      <c r="T15" s="244" t="s">
        <v>104</v>
      </c>
      <c r="U15" s="245"/>
      <c r="V15" s="156"/>
      <c r="W15" s="151" t="s">
        <v>30</v>
      </c>
      <c r="X15" s="110" t="s">
        <v>33</v>
      </c>
      <c r="Y15" s="151" t="s">
        <v>34</v>
      </c>
      <c r="Z15" s="151" t="s">
        <v>32</v>
      </c>
      <c r="AA15" s="156"/>
      <c r="AB15" s="111" t="s">
        <v>45</v>
      </c>
      <c r="AC15" s="151" t="s">
        <v>31</v>
      </c>
      <c r="AD15" s="248" t="s">
        <v>38</v>
      </c>
      <c r="AE15" s="249"/>
      <c r="AF15" s="112" t="s">
        <v>39</v>
      </c>
      <c r="AG15" s="10"/>
      <c r="AH15" s="89">
        <v>2</v>
      </c>
    </row>
    <row r="16" spans="1:34" s="10" customFormat="1" ht="15" customHeight="1" x14ac:dyDescent="0.2">
      <c r="A16" s="232"/>
      <c r="B16" s="113"/>
      <c r="C16" s="164"/>
      <c r="D16" s="165"/>
      <c r="E16" s="113"/>
      <c r="F16" s="166">
        <f>COUNTIF($F$17:INDEX('Сводная таблица'!$F$17:$F$116,MATCH(0,'Сводная таблица'!$AB$17:$AB$116,-1)),"&lt;0")</f>
        <v>0</v>
      </c>
      <c r="G16" s="166">
        <f>COUNTIF($G$17:INDEX('Сводная таблица'!$G$17:$G$116,MATCH(0,'Сводная таблица'!$AB$17:$AB$116,-1)),"&lt;0")</f>
        <v>0</v>
      </c>
      <c r="H16" s="165"/>
      <c r="I16" s="166">
        <f>COUNTIF($I$17:INDEX('Сводная таблица'!$I$17:$I$116,MATCH(0,'Сводная таблица'!$AB$17:$AB$116,-1)),"&lt;0")</f>
        <v>0</v>
      </c>
      <c r="J16" s="166">
        <f>COUNTIF($J$17:INDEX('Сводная таблица'!$J$17:$J$116,MATCH(0,'Сводная таблица'!$AB$17:$AB$116,-1)),"&lt;0,005")</f>
        <v>0</v>
      </c>
      <c r="K16" s="166">
        <f>COUNTIF($K$17:INDEX('Сводная таблица'!$K$17:$K$116,MATCH(0,'Сводная таблица'!$AB$17:$AB$116,-1)),"&lt;0")</f>
        <v>0</v>
      </c>
      <c r="L16" s="165"/>
      <c r="M16" s="166">
        <f>COUNTIF($M$17:INDEX('Сводная таблица'!$M$17:$M$116,MATCH(0,'Сводная таблица'!$AB$17:$AB$116,-1)),"&lt;0")</f>
        <v>0</v>
      </c>
      <c r="N16" s="166"/>
      <c r="O16" s="166">
        <f>COUNTIF($O$17:INDEX('Сводная таблица'!$O$17:$O$116,MATCH(0,'Сводная таблица'!$AB$17:$AB$116,-1)),"&lt;0")</f>
        <v>0</v>
      </c>
      <c r="P16" s="167" t="s">
        <v>105</v>
      </c>
      <c r="Q16" s="168" t="s">
        <v>111</v>
      </c>
      <c r="R16" s="169" t="s">
        <v>112</v>
      </c>
      <c r="S16" s="169" t="s">
        <v>113</v>
      </c>
      <c r="T16" s="169" t="s">
        <v>112</v>
      </c>
      <c r="U16" s="169" t="s">
        <v>113</v>
      </c>
      <c r="V16" s="165"/>
      <c r="W16" s="166">
        <f>COUNTIF($W$17:INDEX('Сводная таблица'!$W$17:$W$116,MATCH(0,'Сводная таблица'!$AB$17:$AB$116,-1)),"&lt;0")</f>
        <v>0</v>
      </c>
      <c r="X16" s="166">
        <f>COUNTIF($X$17:INDEX('Сводная таблица'!$X$17:$X$116,MATCH(0,'Сводная таблица'!$AB$17:$AB$116,-1)),"&lt;0")</f>
        <v>0</v>
      </c>
      <c r="Y16" s="166"/>
      <c r="Z16" s="166"/>
      <c r="AA16" s="165"/>
      <c r="AB16" s="170"/>
      <c r="AC16" s="170"/>
      <c r="AD16" s="170" t="s">
        <v>114</v>
      </c>
      <c r="AE16" s="170" t="s">
        <v>115</v>
      </c>
      <c r="AF16" s="171"/>
      <c r="AH16" s="88"/>
    </row>
    <row r="17" spans="1:34" s="10" customFormat="1" ht="15" customHeight="1" x14ac:dyDescent="0.2">
      <c r="A17" s="233">
        <v>1</v>
      </c>
      <c r="B17" s="114">
        <v>0</v>
      </c>
      <c r="C17" s="173">
        <f>C$3</f>
        <v>30</v>
      </c>
      <c r="D17" s="165"/>
      <c r="E17" s="114">
        <f t="shared" ref="E17:E48" si="0">IF(OR($A17&lt;2,AND(G$13&gt;0,$A17&gt;G$13)),0,IF(AND($A17&gt;=G$10,G$10&gt;0),G$11,IF(AND($A17&gt;=G$7,G$7&gt;0),G$8,0)))</f>
        <v>0</v>
      </c>
      <c r="F17" s="174">
        <v>0</v>
      </c>
      <c r="G17" s="175">
        <f>F17</f>
        <v>0</v>
      </c>
      <c r="H17" s="165"/>
      <c r="I17" s="115">
        <f t="shared" ref="I17:I48" si="1">IF(($A17&lt;K$5),1,IF(AND($A17&gt;K$13,K$13&gt;0),I16,IF(AND($A17&gt;=K$10,K$10&gt;0),ROUND(I16+K$11,4),IF(AND($A17&gt;=K$7,K$7&gt;0),ROUND(I16+K$8,4),K$4))))</f>
        <v>1</v>
      </c>
      <c r="J17" s="176">
        <f t="shared" ref="J17:J48" si="2">IF($A17&lt;K$5, K$3, IF(K$2=0,IF(K$14&gt;0,IF(K$3*K$14&lt;ROUND(J16*I17, 3),K$3*K$14,ROUND(J16*I17, 3)),ROUND(J16*I17, 3)),IF(K$14&gt;0,IF(K$3*K$14&lt;ROUND(K$3*I17, 3),K$3*K$14,ROUND(K$3*I17, 3)),ROUND(K$3*I17, 3))))</f>
        <v>0.03</v>
      </c>
      <c r="K17" s="177">
        <f>J17</f>
        <v>0.03</v>
      </c>
      <c r="L17" s="165"/>
      <c r="M17" s="178">
        <f t="shared" ref="M17:M48" si="3">ROUND(C17*O17-K17*$P$6,2)</f>
        <v>9</v>
      </c>
      <c r="N17" s="228">
        <f>IF($P$10&gt;0,M17/$P$10,0)</f>
        <v>2.9999999999999997E-4</v>
      </c>
      <c r="O17" s="178">
        <f t="shared" ref="O17:O48" si="4">ROUND(ROUND(K17,2)*$P$4,2)</f>
        <v>0.3</v>
      </c>
      <c r="P17" s="179">
        <f>ROUND(J17*$P$6,2)</f>
        <v>0</v>
      </c>
      <c r="Q17" s="180">
        <f t="shared" ref="Q17:Q48" si="5">P17/$P$10</f>
        <v>0</v>
      </c>
      <c r="R17" s="166">
        <f>ROUND(P17/O17,0)</f>
        <v>0</v>
      </c>
      <c r="S17" s="181">
        <v>0</v>
      </c>
      <c r="T17" s="182">
        <f>R17+C17</f>
        <v>30</v>
      </c>
      <c r="U17" s="183">
        <v>0</v>
      </c>
      <c r="V17" s="165"/>
      <c r="W17" s="184">
        <f t="shared" ref="W17:W48" si="6">ROUND(K17*$P$8,2)</f>
        <v>6.46</v>
      </c>
      <c r="X17" s="185">
        <f t="shared" ref="X17:X48" si="7">ROUND(P17+W17,2)</f>
        <v>6.46</v>
      </c>
      <c r="Y17" s="186">
        <f t="shared" ref="Y17:Y48" si="8">IF(P17&gt;0,ROUND(W17/P17,2),0)</f>
        <v>0</v>
      </c>
      <c r="Z17" s="186">
        <f t="shared" ref="Z17:Z48" si="9">IF($P$10&gt;0,ROUND(W17/$P$10,2),0)</f>
        <v>0</v>
      </c>
      <c r="AA17" s="165"/>
      <c r="AB17" s="187">
        <f t="shared" ref="AB17:AB48" si="10">IF($P$10&gt;0,ROUND($P$10-X17,2),0)</f>
        <v>29993.54</v>
      </c>
      <c r="AC17" s="186">
        <f t="shared" ref="AC17:AC48" si="11">IF($P$10&gt;0,ROUND(X17/$P$10,2),0)</f>
        <v>0</v>
      </c>
      <c r="AD17" s="188">
        <f t="shared" ref="AD17:AD48" si="12">IF(AND(AB17&gt;0,$P$4&gt;0),($P$10-P17-W17*$P$9)/O17,0)</f>
        <v>99997.846666666665</v>
      </c>
      <c r="AE17" s="188">
        <f t="shared" ref="AE17:AE48" si="13">IF(AD17&gt;0,AD17+G17,0)</f>
        <v>99997.846666666665</v>
      </c>
      <c r="AF17" s="189">
        <v>1</v>
      </c>
      <c r="AH17" s="88"/>
    </row>
    <row r="18" spans="1:34" s="10" customFormat="1" ht="15" customHeight="1" x14ac:dyDescent="0.2">
      <c r="A18" s="233">
        <v>2</v>
      </c>
      <c r="B18" s="114">
        <f t="shared" ref="B18:B49" si="14">IF(AND($A18&gt;=C$13,C$13&gt;0),0,IF(AND($A18&gt;=C$10,C$10&gt;0),C$11,IF(AND($A18&gt;=C$7,C$7&gt;0),C$8,0)))</f>
        <v>0</v>
      </c>
      <c r="C18" s="173">
        <f t="shared" ref="C18:C49" si="15">IF(AND($A18&gt;=C$13,C$13&gt;0),C$14,C17+B18)</f>
        <v>30</v>
      </c>
      <c r="D18" s="165"/>
      <c r="E18" s="114">
        <f t="shared" si="0"/>
        <v>0</v>
      </c>
      <c r="F18" s="174">
        <f>G$3+E18</f>
        <v>14</v>
      </c>
      <c r="G18" s="175">
        <f>G17+F18</f>
        <v>14</v>
      </c>
      <c r="H18" s="165"/>
      <c r="I18" s="115">
        <f t="shared" si="1"/>
        <v>1</v>
      </c>
      <c r="J18" s="176">
        <f t="shared" si="2"/>
        <v>0.03</v>
      </c>
      <c r="K18" s="177">
        <f>K17+ROUND(J18,2)</f>
        <v>0.06</v>
      </c>
      <c r="L18" s="165"/>
      <c r="M18" s="178">
        <f t="shared" si="3"/>
        <v>18</v>
      </c>
      <c r="N18" s="228">
        <f t="shared" ref="N18:N81" si="16">IF($P$10&gt;0,M18/$P$10,0)</f>
        <v>5.9999999999999995E-4</v>
      </c>
      <c r="O18" s="178">
        <f t="shared" si="4"/>
        <v>0.6</v>
      </c>
      <c r="P18" s="179">
        <f t="shared" ref="P18:P49" si="17">ROUND((ROUND(K17,2)*(G18-G17)*$P$4+P17+J18*$P$6),2)</f>
        <v>4.2</v>
      </c>
      <c r="Q18" s="180">
        <f t="shared" si="5"/>
        <v>1.4000000000000001E-4</v>
      </c>
      <c r="R18" s="166">
        <f>ROUND(P18/O18,0)</f>
        <v>7</v>
      </c>
      <c r="S18" s="181">
        <f>ROUND(R18/G18,2)</f>
        <v>0.5</v>
      </c>
      <c r="T18" s="182">
        <f>R18+C18</f>
        <v>37</v>
      </c>
      <c r="U18" s="183">
        <f>ROUND(T18/G18,2)</f>
        <v>2.64</v>
      </c>
      <c r="V18" s="165"/>
      <c r="W18" s="184">
        <f t="shared" si="6"/>
        <v>12.91</v>
      </c>
      <c r="X18" s="185">
        <f t="shared" si="7"/>
        <v>17.11</v>
      </c>
      <c r="Y18" s="186">
        <f t="shared" si="8"/>
        <v>3.07</v>
      </c>
      <c r="Z18" s="186">
        <f t="shared" si="9"/>
        <v>0</v>
      </c>
      <c r="AA18" s="165"/>
      <c r="AB18" s="187">
        <f t="shared" si="10"/>
        <v>29982.89</v>
      </c>
      <c r="AC18" s="186">
        <f t="shared" si="11"/>
        <v>0</v>
      </c>
      <c r="AD18" s="188">
        <f t="shared" si="12"/>
        <v>49990.848333333335</v>
      </c>
      <c r="AE18" s="188">
        <f t="shared" si="13"/>
        <v>50004.848333333335</v>
      </c>
      <c r="AF18" s="189">
        <v>2</v>
      </c>
      <c r="AH18" s="163"/>
    </row>
    <row r="19" spans="1:34" s="10" customFormat="1" ht="15" customHeight="1" x14ac:dyDescent="0.2">
      <c r="A19" s="233">
        <v>3</v>
      </c>
      <c r="B19" s="114">
        <f t="shared" si="14"/>
        <v>3</v>
      </c>
      <c r="C19" s="173">
        <f t="shared" si="15"/>
        <v>33</v>
      </c>
      <c r="D19" s="165"/>
      <c r="E19" s="114">
        <f t="shared" si="0"/>
        <v>0</v>
      </c>
      <c r="F19" s="174">
        <f>F18+E19</f>
        <v>14</v>
      </c>
      <c r="G19" s="175">
        <f>G18+F19</f>
        <v>28</v>
      </c>
      <c r="H19" s="165"/>
      <c r="I19" s="115">
        <f t="shared" si="1"/>
        <v>1</v>
      </c>
      <c r="J19" s="176">
        <f t="shared" si="2"/>
        <v>0.03</v>
      </c>
      <c r="K19" s="177">
        <f>K18+ROUND(J19,2)</f>
        <v>0.09</v>
      </c>
      <c r="L19" s="165"/>
      <c r="M19" s="178">
        <f t="shared" si="3"/>
        <v>29.7</v>
      </c>
      <c r="N19" s="228">
        <f t="shared" si="16"/>
        <v>9.8999999999999999E-4</v>
      </c>
      <c r="O19" s="178">
        <f t="shared" si="4"/>
        <v>0.9</v>
      </c>
      <c r="P19" s="179">
        <f t="shared" si="17"/>
        <v>12.6</v>
      </c>
      <c r="Q19" s="180">
        <f t="shared" si="5"/>
        <v>4.1999999999999996E-4</v>
      </c>
      <c r="R19" s="166">
        <f>ROUND(P19/O19,0)</f>
        <v>14</v>
      </c>
      <c r="S19" s="181">
        <f>ROUND(R19/G19,2)</f>
        <v>0.5</v>
      </c>
      <c r="T19" s="182">
        <f>R19+C19</f>
        <v>47</v>
      </c>
      <c r="U19" s="183">
        <f>ROUND(T19/G19,2)</f>
        <v>1.68</v>
      </c>
      <c r="V19" s="165"/>
      <c r="W19" s="184">
        <f t="shared" si="6"/>
        <v>19.37</v>
      </c>
      <c r="X19" s="185">
        <f t="shared" si="7"/>
        <v>31.97</v>
      </c>
      <c r="Y19" s="186">
        <f t="shared" si="8"/>
        <v>1.54</v>
      </c>
      <c r="Z19" s="186">
        <f t="shared" si="9"/>
        <v>0</v>
      </c>
      <c r="AA19" s="165"/>
      <c r="AB19" s="187">
        <f t="shared" si="10"/>
        <v>29968.03</v>
      </c>
      <c r="AC19" s="186">
        <f t="shared" si="11"/>
        <v>0</v>
      </c>
      <c r="AD19" s="188">
        <f t="shared" si="12"/>
        <v>33317.181111111109</v>
      </c>
      <c r="AE19" s="188">
        <f t="shared" si="13"/>
        <v>33345.181111111109</v>
      </c>
      <c r="AF19" s="189">
        <v>3</v>
      </c>
      <c r="AH19" s="163"/>
    </row>
    <row r="20" spans="1:34" s="10" customFormat="1" ht="15" customHeight="1" x14ac:dyDescent="0.2">
      <c r="A20" s="233">
        <v>4</v>
      </c>
      <c r="B20" s="114">
        <f t="shared" si="14"/>
        <v>3</v>
      </c>
      <c r="C20" s="173">
        <f t="shared" si="15"/>
        <v>36</v>
      </c>
      <c r="D20" s="165"/>
      <c r="E20" s="114">
        <f t="shared" si="0"/>
        <v>0</v>
      </c>
      <c r="F20" s="174">
        <f t="shared" ref="F20:G20" si="18">F19+E20</f>
        <v>14</v>
      </c>
      <c r="G20" s="175">
        <f t="shared" si="18"/>
        <v>42</v>
      </c>
      <c r="H20" s="165"/>
      <c r="I20" s="115">
        <f t="shared" si="1"/>
        <v>1.0249999999999999</v>
      </c>
      <c r="J20" s="176">
        <f t="shared" si="2"/>
        <v>3.1E-2</v>
      </c>
      <c r="K20" s="177">
        <f t="shared" ref="K20:K83" si="19">K19+ROUND(J20,2)</f>
        <v>0.12</v>
      </c>
      <c r="L20" s="165"/>
      <c r="M20" s="178">
        <f t="shared" si="3"/>
        <v>43.2</v>
      </c>
      <c r="N20" s="228">
        <f t="shared" si="16"/>
        <v>1.4400000000000001E-3</v>
      </c>
      <c r="O20" s="178">
        <f t="shared" si="4"/>
        <v>1.2</v>
      </c>
      <c r="P20" s="179">
        <f t="shared" si="17"/>
        <v>25.2</v>
      </c>
      <c r="Q20" s="180">
        <f t="shared" si="5"/>
        <v>8.3999999999999993E-4</v>
      </c>
      <c r="R20" s="166">
        <f t="shared" ref="R20:R83" si="20">ROUND(P20/O20,0)</f>
        <v>21</v>
      </c>
      <c r="S20" s="181">
        <f t="shared" ref="S20:S83" si="21">ROUND(R20/G20,2)</f>
        <v>0.5</v>
      </c>
      <c r="T20" s="182">
        <f t="shared" ref="T20:T83" si="22">R20+C20</f>
        <v>57</v>
      </c>
      <c r="U20" s="183">
        <f t="shared" ref="U20:U83" si="23">ROUND(T20/G20,2)</f>
        <v>1.36</v>
      </c>
      <c r="V20" s="165"/>
      <c r="W20" s="184">
        <f t="shared" si="6"/>
        <v>25.82</v>
      </c>
      <c r="X20" s="185">
        <f t="shared" si="7"/>
        <v>51.02</v>
      </c>
      <c r="Y20" s="186">
        <f t="shared" si="8"/>
        <v>1.02</v>
      </c>
      <c r="Z20" s="186">
        <f t="shared" si="9"/>
        <v>0</v>
      </c>
      <c r="AA20" s="165"/>
      <c r="AB20" s="187">
        <f t="shared" si="10"/>
        <v>29948.98</v>
      </c>
      <c r="AC20" s="186">
        <f t="shared" si="11"/>
        <v>0</v>
      </c>
      <c r="AD20" s="188">
        <f t="shared" si="12"/>
        <v>24976.848333333335</v>
      </c>
      <c r="AE20" s="188">
        <f t="shared" si="13"/>
        <v>25018.848333333335</v>
      </c>
      <c r="AF20" s="189">
        <v>4</v>
      </c>
      <c r="AH20" s="163"/>
    </row>
    <row r="21" spans="1:34" s="10" customFormat="1" ht="15" customHeight="1" x14ac:dyDescent="0.2">
      <c r="A21" s="233">
        <v>5</v>
      </c>
      <c r="B21" s="116">
        <f t="shared" si="14"/>
        <v>3</v>
      </c>
      <c r="C21" s="190">
        <f t="shared" si="15"/>
        <v>39</v>
      </c>
      <c r="D21" s="191"/>
      <c r="E21" s="116">
        <f t="shared" si="0"/>
        <v>0</v>
      </c>
      <c r="F21" s="190">
        <f t="shared" ref="F21:G21" si="24">F20+E21</f>
        <v>14</v>
      </c>
      <c r="G21" s="190">
        <f t="shared" si="24"/>
        <v>56</v>
      </c>
      <c r="H21" s="191"/>
      <c r="I21" s="117">
        <f t="shared" si="1"/>
        <v>1.05</v>
      </c>
      <c r="J21" s="192">
        <f t="shared" si="2"/>
        <v>3.3000000000000002E-2</v>
      </c>
      <c r="K21" s="192">
        <f t="shared" si="19"/>
        <v>0.15</v>
      </c>
      <c r="L21" s="193"/>
      <c r="M21" s="194">
        <f t="shared" si="3"/>
        <v>58.5</v>
      </c>
      <c r="N21" s="229">
        <f t="shared" si="16"/>
        <v>1.9499999999999999E-3</v>
      </c>
      <c r="O21" s="194">
        <f t="shared" si="4"/>
        <v>1.5</v>
      </c>
      <c r="P21" s="195">
        <f t="shared" si="17"/>
        <v>42</v>
      </c>
      <c r="Q21" s="196">
        <f t="shared" si="5"/>
        <v>1.4E-3</v>
      </c>
      <c r="R21" s="197">
        <f t="shared" si="20"/>
        <v>28</v>
      </c>
      <c r="S21" s="198">
        <f t="shared" si="21"/>
        <v>0.5</v>
      </c>
      <c r="T21" s="199">
        <f t="shared" si="22"/>
        <v>67</v>
      </c>
      <c r="U21" s="198">
        <f t="shared" si="23"/>
        <v>1.2</v>
      </c>
      <c r="V21" s="200"/>
      <c r="W21" s="201">
        <f t="shared" si="6"/>
        <v>32.28</v>
      </c>
      <c r="X21" s="202">
        <f t="shared" si="7"/>
        <v>74.28</v>
      </c>
      <c r="Y21" s="203">
        <f t="shared" si="8"/>
        <v>0.77</v>
      </c>
      <c r="Z21" s="203">
        <f t="shared" si="9"/>
        <v>0</v>
      </c>
      <c r="AA21" s="204"/>
      <c r="AB21" s="205">
        <f t="shared" si="10"/>
        <v>29925.72</v>
      </c>
      <c r="AC21" s="203">
        <f t="shared" si="11"/>
        <v>0</v>
      </c>
      <c r="AD21" s="206">
        <f t="shared" si="12"/>
        <v>19969.848000000002</v>
      </c>
      <c r="AE21" s="206">
        <f t="shared" si="13"/>
        <v>20025.848000000002</v>
      </c>
      <c r="AF21" s="189">
        <v>5</v>
      </c>
      <c r="AH21" s="163"/>
    </row>
    <row r="22" spans="1:34" s="10" customFormat="1" ht="15" customHeight="1" x14ac:dyDescent="0.2">
      <c r="A22" s="233">
        <v>6</v>
      </c>
      <c r="B22" s="114">
        <f t="shared" si="14"/>
        <v>3</v>
      </c>
      <c r="C22" s="173">
        <f t="shared" si="15"/>
        <v>42</v>
      </c>
      <c r="D22" s="165"/>
      <c r="E22" s="114">
        <f t="shared" si="0"/>
        <v>0</v>
      </c>
      <c r="F22" s="174">
        <f t="shared" ref="F22:G22" si="25">F21+E22</f>
        <v>14</v>
      </c>
      <c r="G22" s="175">
        <f t="shared" si="25"/>
        <v>70</v>
      </c>
      <c r="H22" s="165"/>
      <c r="I22" s="115">
        <f t="shared" si="1"/>
        <v>1.075</v>
      </c>
      <c r="J22" s="176">
        <f t="shared" si="2"/>
        <v>3.5000000000000003E-2</v>
      </c>
      <c r="K22" s="177">
        <f t="shared" si="19"/>
        <v>0.19</v>
      </c>
      <c r="L22" s="165"/>
      <c r="M22" s="178">
        <f t="shared" si="3"/>
        <v>79.8</v>
      </c>
      <c r="N22" s="228">
        <f t="shared" si="16"/>
        <v>2.66E-3</v>
      </c>
      <c r="O22" s="178">
        <f t="shared" si="4"/>
        <v>1.9</v>
      </c>
      <c r="P22" s="179">
        <f t="shared" si="17"/>
        <v>63</v>
      </c>
      <c r="Q22" s="180">
        <f t="shared" si="5"/>
        <v>2.0999999999999999E-3</v>
      </c>
      <c r="R22" s="166">
        <f t="shared" si="20"/>
        <v>33</v>
      </c>
      <c r="S22" s="181">
        <f t="shared" si="21"/>
        <v>0.47</v>
      </c>
      <c r="T22" s="182">
        <f t="shared" si="22"/>
        <v>75</v>
      </c>
      <c r="U22" s="183">
        <f t="shared" si="23"/>
        <v>1.07</v>
      </c>
      <c r="V22" s="165"/>
      <c r="W22" s="184">
        <f t="shared" si="6"/>
        <v>40.89</v>
      </c>
      <c r="X22" s="185">
        <f t="shared" si="7"/>
        <v>103.89</v>
      </c>
      <c r="Y22" s="186">
        <f t="shared" si="8"/>
        <v>0.65</v>
      </c>
      <c r="Z22" s="186">
        <f t="shared" si="9"/>
        <v>0</v>
      </c>
      <c r="AA22" s="165"/>
      <c r="AB22" s="187">
        <f t="shared" si="10"/>
        <v>29896.11</v>
      </c>
      <c r="AC22" s="186">
        <f t="shared" si="11"/>
        <v>0</v>
      </c>
      <c r="AD22" s="188">
        <f t="shared" si="12"/>
        <v>15754.163684210527</v>
      </c>
      <c r="AE22" s="188">
        <f t="shared" si="13"/>
        <v>15824.163684210527</v>
      </c>
      <c r="AF22" s="189">
        <v>6</v>
      </c>
      <c r="AH22" s="163"/>
    </row>
    <row r="23" spans="1:34" s="10" customFormat="1" ht="15" customHeight="1" x14ac:dyDescent="0.2">
      <c r="A23" s="233">
        <v>7</v>
      </c>
      <c r="B23" s="114">
        <f t="shared" si="14"/>
        <v>3</v>
      </c>
      <c r="C23" s="173">
        <f t="shared" si="15"/>
        <v>45</v>
      </c>
      <c r="D23" s="165"/>
      <c r="E23" s="114">
        <f t="shared" si="0"/>
        <v>0</v>
      </c>
      <c r="F23" s="174">
        <f t="shared" ref="F23:G23" si="26">F22+E23</f>
        <v>14</v>
      </c>
      <c r="G23" s="175">
        <f t="shared" si="26"/>
        <v>84</v>
      </c>
      <c r="H23" s="165"/>
      <c r="I23" s="115">
        <f t="shared" si="1"/>
        <v>1.1000000000000001</v>
      </c>
      <c r="J23" s="176">
        <f t="shared" si="2"/>
        <v>3.9E-2</v>
      </c>
      <c r="K23" s="177">
        <f t="shared" si="19"/>
        <v>0.23</v>
      </c>
      <c r="L23" s="165"/>
      <c r="M23" s="178">
        <f t="shared" si="3"/>
        <v>103.5</v>
      </c>
      <c r="N23" s="228">
        <f t="shared" si="16"/>
        <v>3.4499999999999999E-3</v>
      </c>
      <c r="O23" s="178">
        <f t="shared" si="4"/>
        <v>2.2999999999999998</v>
      </c>
      <c r="P23" s="179">
        <f t="shared" si="17"/>
        <v>89.6</v>
      </c>
      <c r="Q23" s="180">
        <f t="shared" si="5"/>
        <v>2.9866666666666665E-3</v>
      </c>
      <c r="R23" s="166">
        <f t="shared" si="20"/>
        <v>39</v>
      </c>
      <c r="S23" s="181">
        <f t="shared" si="21"/>
        <v>0.46</v>
      </c>
      <c r="T23" s="182">
        <f t="shared" si="22"/>
        <v>84</v>
      </c>
      <c r="U23" s="183">
        <f t="shared" si="23"/>
        <v>1</v>
      </c>
      <c r="V23" s="165"/>
      <c r="W23" s="184">
        <f t="shared" si="6"/>
        <v>49.5</v>
      </c>
      <c r="X23" s="185">
        <f t="shared" si="7"/>
        <v>139.1</v>
      </c>
      <c r="Y23" s="186">
        <f t="shared" si="8"/>
        <v>0.55000000000000004</v>
      </c>
      <c r="Z23" s="186">
        <f t="shared" si="9"/>
        <v>0</v>
      </c>
      <c r="AA23" s="165"/>
      <c r="AB23" s="187">
        <f t="shared" si="10"/>
        <v>29860.9</v>
      </c>
      <c r="AC23" s="186">
        <f t="shared" si="11"/>
        <v>0</v>
      </c>
      <c r="AD23" s="188">
        <f t="shared" si="12"/>
        <v>13002.369565217392</v>
      </c>
      <c r="AE23" s="188">
        <f t="shared" si="13"/>
        <v>13086.369565217392</v>
      </c>
      <c r="AF23" s="189">
        <v>7</v>
      </c>
      <c r="AH23" s="207"/>
    </row>
    <row r="24" spans="1:34" s="10" customFormat="1" ht="15" customHeight="1" x14ac:dyDescent="0.2">
      <c r="A24" s="233">
        <v>8</v>
      </c>
      <c r="B24" s="114">
        <f t="shared" si="14"/>
        <v>3</v>
      </c>
      <c r="C24" s="173">
        <f t="shared" si="15"/>
        <v>48</v>
      </c>
      <c r="D24" s="165"/>
      <c r="E24" s="114">
        <f t="shared" si="0"/>
        <v>12</v>
      </c>
      <c r="F24" s="174">
        <f t="shared" ref="F24:G24" si="27">F23+E24</f>
        <v>26</v>
      </c>
      <c r="G24" s="175">
        <f t="shared" si="27"/>
        <v>110</v>
      </c>
      <c r="H24" s="165"/>
      <c r="I24" s="115">
        <f t="shared" si="1"/>
        <v>1.325</v>
      </c>
      <c r="J24" s="176">
        <f t="shared" si="2"/>
        <v>5.1999999999999998E-2</v>
      </c>
      <c r="K24" s="177">
        <f t="shared" si="19"/>
        <v>0.28000000000000003</v>
      </c>
      <c r="L24" s="165"/>
      <c r="M24" s="178">
        <f t="shared" si="3"/>
        <v>134.4</v>
      </c>
      <c r="N24" s="228">
        <f t="shared" si="16"/>
        <v>4.4800000000000005E-3</v>
      </c>
      <c r="O24" s="178">
        <f t="shared" si="4"/>
        <v>2.8</v>
      </c>
      <c r="P24" s="179">
        <f t="shared" si="17"/>
        <v>149.4</v>
      </c>
      <c r="Q24" s="180">
        <f t="shared" si="5"/>
        <v>4.9800000000000001E-3</v>
      </c>
      <c r="R24" s="166">
        <f t="shared" si="20"/>
        <v>53</v>
      </c>
      <c r="S24" s="181">
        <f t="shared" si="21"/>
        <v>0.48</v>
      </c>
      <c r="T24" s="182">
        <f t="shared" si="22"/>
        <v>101</v>
      </c>
      <c r="U24" s="183">
        <f t="shared" si="23"/>
        <v>0.92</v>
      </c>
      <c r="V24" s="165"/>
      <c r="W24" s="184">
        <f t="shared" si="6"/>
        <v>60.26</v>
      </c>
      <c r="X24" s="185">
        <f t="shared" si="7"/>
        <v>209.66</v>
      </c>
      <c r="Y24" s="186">
        <f t="shared" si="8"/>
        <v>0.4</v>
      </c>
      <c r="Z24" s="186">
        <f t="shared" si="9"/>
        <v>0</v>
      </c>
      <c r="AA24" s="165"/>
      <c r="AB24" s="187">
        <f t="shared" si="10"/>
        <v>29790.34</v>
      </c>
      <c r="AC24" s="186">
        <f t="shared" si="11"/>
        <v>0.01</v>
      </c>
      <c r="AD24" s="188">
        <f t="shared" si="12"/>
        <v>10658.776428571427</v>
      </c>
      <c r="AE24" s="188">
        <f t="shared" si="13"/>
        <v>10768.776428571427</v>
      </c>
      <c r="AF24" s="189">
        <v>8</v>
      </c>
      <c r="AH24" s="207"/>
    </row>
    <row r="25" spans="1:34" s="10" customFormat="1" ht="15" customHeight="1" x14ac:dyDescent="0.2">
      <c r="A25" s="233">
        <v>9</v>
      </c>
      <c r="B25" s="114">
        <f t="shared" si="14"/>
        <v>3</v>
      </c>
      <c r="C25" s="173">
        <f t="shared" si="15"/>
        <v>51</v>
      </c>
      <c r="D25" s="165"/>
      <c r="E25" s="114">
        <f t="shared" si="0"/>
        <v>12</v>
      </c>
      <c r="F25" s="174">
        <f t="shared" ref="F25:G25" si="28">F24+E25</f>
        <v>38</v>
      </c>
      <c r="G25" s="175">
        <f t="shared" si="28"/>
        <v>148</v>
      </c>
      <c r="H25" s="165"/>
      <c r="I25" s="115">
        <f t="shared" si="1"/>
        <v>1.55</v>
      </c>
      <c r="J25" s="176">
        <f t="shared" si="2"/>
        <v>8.1000000000000003E-2</v>
      </c>
      <c r="K25" s="177">
        <f t="shared" si="19"/>
        <v>0.36000000000000004</v>
      </c>
      <c r="L25" s="165"/>
      <c r="M25" s="178">
        <f t="shared" si="3"/>
        <v>183.6</v>
      </c>
      <c r="N25" s="228">
        <f t="shared" si="16"/>
        <v>6.1199999999999996E-3</v>
      </c>
      <c r="O25" s="178">
        <f t="shared" si="4"/>
        <v>3.6</v>
      </c>
      <c r="P25" s="179">
        <f t="shared" si="17"/>
        <v>255.8</v>
      </c>
      <c r="Q25" s="180">
        <f t="shared" si="5"/>
        <v>8.5266666666666668E-3</v>
      </c>
      <c r="R25" s="166">
        <f t="shared" si="20"/>
        <v>71</v>
      </c>
      <c r="S25" s="181">
        <f t="shared" si="21"/>
        <v>0.48</v>
      </c>
      <c r="T25" s="182">
        <f t="shared" si="22"/>
        <v>122</v>
      </c>
      <c r="U25" s="183">
        <f t="shared" si="23"/>
        <v>0.82</v>
      </c>
      <c r="V25" s="165"/>
      <c r="W25" s="184">
        <f t="shared" si="6"/>
        <v>77.47</v>
      </c>
      <c r="X25" s="185">
        <f t="shared" si="7"/>
        <v>333.27</v>
      </c>
      <c r="Y25" s="186">
        <f t="shared" si="8"/>
        <v>0.3</v>
      </c>
      <c r="Z25" s="186">
        <f t="shared" si="9"/>
        <v>0</v>
      </c>
      <c r="AA25" s="165"/>
      <c r="AB25" s="187">
        <f t="shared" si="10"/>
        <v>29666.73</v>
      </c>
      <c r="AC25" s="186">
        <f t="shared" si="11"/>
        <v>0.01</v>
      </c>
      <c r="AD25" s="188">
        <f t="shared" si="12"/>
        <v>8260.1258333333335</v>
      </c>
      <c r="AE25" s="188">
        <f t="shared" si="13"/>
        <v>8408.1258333333335</v>
      </c>
      <c r="AF25" s="189">
        <v>9</v>
      </c>
      <c r="AH25" s="208"/>
    </row>
    <row r="26" spans="1:34" s="10" customFormat="1" ht="15" customHeight="1" x14ac:dyDescent="0.2">
      <c r="A26" s="233">
        <v>10</v>
      </c>
      <c r="B26" s="116">
        <f t="shared" si="14"/>
        <v>3</v>
      </c>
      <c r="C26" s="190">
        <f t="shared" si="15"/>
        <v>54</v>
      </c>
      <c r="D26" s="191"/>
      <c r="E26" s="116">
        <f t="shared" si="0"/>
        <v>12</v>
      </c>
      <c r="F26" s="190">
        <f t="shared" ref="F26:G26" si="29">F25+E26</f>
        <v>50</v>
      </c>
      <c r="G26" s="190">
        <f t="shared" si="29"/>
        <v>198</v>
      </c>
      <c r="H26" s="191"/>
      <c r="I26" s="117">
        <f t="shared" si="1"/>
        <v>1.55</v>
      </c>
      <c r="J26" s="192">
        <f t="shared" si="2"/>
        <v>0.126</v>
      </c>
      <c r="K26" s="192">
        <f t="shared" si="19"/>
        <v>0.49000000000000005</v>
      </c>
      <c r="L26" s="193"/>
      <c r="M26" s="194">
        <f t="shared" si="3"/>
        <v>264.60000000000002</v>
      </c>
      <c r="N26" s="229">
        <f t="shared" si="16"/>
        <v>8.8200000000000014E-3</v>
      </c>
      <c r="O26" s="194">
        <f t="shared" si="4"/>
        <v>4.9000000000000004</v>
      </c>
      <c r="P26" s="195">
        <f t="shared" si="17"/>
        <v>435.8</v>
      </c>
      <c r="Q26" s="196">
        <f t="shared" si="5"/>
        <v>1.4526666666666667E-2</v>
      </c>
      <c r="R26" s="197">
        <f t="shared" si="20"/>
        <v>89</v>
      </c>
      <c r="S26" s="198">
        <f t="shared" si="21"/>
        <v>0.45</v>
      </c>
      <c r="T26" s="199">
        <f t="shared" si="22"/>
        <v>143</v>
      </c>
      <c r="U26" s="198">
        <f t="shared" si="23"/>
        <v>0.72</v>
      </c>
      <c r="V26" s="200"/>
      <c r="W26" s="201">
        <f t="shared" si="6"/>
        <v>105.45</v>
      </c>
      <c r="X26" s="202">
        <f t="shared" si="7"/>
        <v>541.25</v>
      </c>
      <c r="Y26" s="203">
        <f t="shared" si="8"/>
        <v>0.24</v>
      </c>
      <c r="Z26" s="203">
        <f t="shared" si="9"/>
        <v>0</v>
      </c>
      <c r="AA26" s="204"/>
      <c r="AB26" s="205">
        <f t="shared" si="10"/>
        <v>29458.75</v>
      </c>
      <c r="AC26" s="203">
        <f t="shared" si="11"/>
        <v>0.02</v>
      </c>
      <c r="AD26" s="206">
        <f t="shared" si="12"/>
        <v>6031.3581632653058</v>
      </c>
      <c r="AE26" s="206">
        <f t="shared" si="13"/>
        <v>6229.3581632653058</v>
      </c>
      <c r="AF26" s="189">
        <v>10</v>
      </c>
    </row>
    <row r="27" spans="1:34" s="10" customFormat="1" ht="15" customHeight="1" x14ac:dyDescent="0.2">
      <c r="A27" s="233">
        <v>11</v>
      </c>
      <c r="B27" s="114">
        <f t="shared" si="14"/>
        <v>3</v>
      </c>
      <c r="C27" s="173">
        <f t="shared" si="15"/>
        <v>57</v>
      </c>
      <c r="D27" s="165"/>
      <c r="E27" s="114">
        <f t="shared" si="0"/>
        <v>8</v>
      </c>
      <c r="F27" s="174">
        <f t="shared" ref="F27:G27" si="30">F26+E27</f>
        <v>58</v>
      </c>
      <c r="G27" s="175">
        <f t="shared" si="30"/>
        <v>256</v>
      </c>
      <c r="H27" s="165"/>
      <c r="I27" s="115">
        <f t="shared" si="1"/>
        <v>1.55</v>
      </c>
      <c r="J27" s="176">
        <f t="shared" si="2"/>
        <v>0.19500000000000001</v>
      </c>
      <c r="K27" s="177">
        <f t="shared" si="19"/>
        <v>0.69000000000000006</v>
      </c>
      <c r="L27" s="165"/>
      <c r="M27" s="178">
        <f t="shared" si="3"/>
        <v>393.3</v>
      </c>
      <c r="N27" s="228">
        <f t="shared" si="16"/>
        <v>1.311E-2</v>
      </c>
      <c r="O27" s="178">
        <f t="shared" si="4"/>
        <v>6.9</v>
      </c>
      <c r="P27" s="179">
        <f t="shared" si="17"/>
        <v>720</v>
      </c>
      <c r="Q27" s="180">
        <f t="shared" si="5"/>
        <v>2.4E-2</v>
      </c>
      <c r="R27" s="166">
        <f t="shared" si="20"/>
        <v>104</v>
      </c>
      <c r="S27" s="181">
        <f t="shared" si="21"/>
        <v>0.41</v>
      </c>
      <c r="T27" s="182">
        <f t="shared" si="22"/>
        <v>161</v>
      </c>
      <c r="U27" s="183">
        <f t="shared" si="23"/>
        <v>0.63</v>
      </c>
      <c r="V27" s="165"/>
      <c r="W27" s="184">
        <f t="shared" si="6"/>
        <v>148.49</v>
      </c>
      <c r="X27" s="185">
        <f t="shared" si="7"/>
        <v>868.49</v>
      </c>
      <c r="Y27" s="186">
        <f t="shared" si="8"/>
        <v>0.21</v>
      </c>
      <c r="Z27" s="186">
        <f t="shared" si="9"/>
        <v>0</v>
      </c>
      <c r="AA27" s="165"/>
      <c r="AB27" s="187">
        <f t="shared" si="10"/>
        <v>29131.51</v>
      </c>
      <c r="AC27" s="186">
        <f t="shared" si="11"/>
        <v>0.03</v>
      </c>
      <c r="AD27" s="188">
        <f t="shared" si="12"/>
        <v>4241.326231884058</v>
      </c>
      <c r="AE27" s="188">
        <f t="shared" si="13"/>
        <v>4497.326231884058</v>
      </c>
      <c r="AF27" s="189">
        <v>11</v>
      </c>
    </row>
    <row r="28" spans="1:34" s="10" customFormat="1" ht="15" customHeight="1" x14ac:dyDescent="0.2">
      <c r="A28" s="233">
        <v>12</v>
      </c>
      <c r="B28" s="114">
        <f t="shared" si="14"/>
        <v>3</v>
      </c>
      <c r="C28" s="173">
        <f t="shared" si="15"/>
        <v>60</v>
      </c>
      <c r="D28" s="165"/>
      <c r="E28" s="114">
        <f t="shared" si="0"/>
        <v>8</v>
      </c>
      <c r="F28" s="174">
        <f t="shared" ref="F28:G28" si="31">F27+E28</f>
        <v>66</v>
      </c>
      <c r="G28" s="175">
        <f t="shared" si="31"/>
        <v>322</v>
      </c>
      <c r="H28" s="165"/>
      <c r="I28" s="115">
        <f t="shared" si="1"/>
        <v>1.55</v>
      </c>
      <c r="J28" s="176">
        <f t="shared" si="2"/>
        <v>0.30199999999999999</v>
      </c>
      <c r="K28" s="177">
        <f t="shared" si="19"/>
        <v>0.99</v>
      </c>
      <c r="L28" s="165"/>
      <c r="M28" s="178">
        <f t="shared" si="3"/>
        <v>594</v>
      </c>
      <c r="N28" s="228">
        <f t="shared" si="16"/>
        <v>1.9800000000000002E-2</v>
      </c>
      <c r="O28" s="178">
        <f t="shared" si="4"/>
        <v>9.9</v>
      </c>
      <c r="P28" s="179">
        <f t="shared" si="17"/>
        <v>1175.4000000000001</v>
      </c>
      <c r="Q28" s="180">
        <f t="shared" si="5"/>
        <v>3.9180000000000006E-2</v>
      </c>
      <c r="R28" s="166">
        <f t="shared" si="20"/>
        <v>119</v>
      </c>
      <c r="S28" s="181">
        <f t="shared" si="21"/>
        <v>0.37</v>
      </c>
      <c r="T28" s="182">
        <f t="shared" si="22"/>
        <v>179</v>
      </c>
      <c r="U28" s="183">
        <f t="shared" si="23"/>
        <v>0.56000000000000005</v>
      </c>
      <c r="V28" s="165"/>
      <c r="W28" s="184">
        <f t="shared" si="6"/>
        <v>213.05</v>
      </c>
      <c r="X28" s="185">
        <f t="shared" si="7"/>
        <v>1388.45</v>
      </c>
      <c r="Y28" s="186">
        <f t="shared" si="8"/>
        <v>0.18</v>
      </c>
      <c r="Z28" s="186">
        <f t="shared" si="9"/>
        <v>0.01</v>
      </c>
      <c r="AA28" s="165"/>
      <c r="AB28" s="187">
        <f t="shared" si="10"/>
        <v>28611.55</v>
      </c>
      <c r="AC28" s="186">
        <f t="shared" si="11"/>
        <v>0.05</v>
      </c>
      <c r="AD28" s="188">
        <f t="shared" si="12"/>
        <v>2909.4237373737369</v>
      </c>
      <c r="AE28" s="188">
        <f t="shared" si="13"/>
        <v>3231.4237373737369</v>
      </c>
      <c r="AF28" s="189">
        <v>12</v>
      </c>
    </row>
    <row r="29" spans="1:34" s="10" customFormat="1" ht="15" customHeight="1" x14ac:dyDescent="0.2">
      <c r="A29" s="233">
        <v>13</v>
      </c>
      <c r="B29" s="114">
        <f t="shared" si="14"/>
        <v>3</v>
      </c>
      <c r="C29" s="173">
        <f t="shared" si="15"/>
        <v>63</v>
      </c>
      <c r="D29" s="165"/>
      <c r="E29" s="114">
        <f t="shared" si="0"/>
        <v>8</v>
      </c>
      <c r="F29" s="174">
        <f t="shared" ref="F29:G29" si="32">F28+E29</f>
        <v>74</v>
      </c>
      <c r="G29" s="175">
        <f t="shared" si="32"/>
        <v>396</v>
      </c>
      <c r="H29" s="165"/>
      <c r="I29" s="115">
        <f t="shared" si="1"/>
        <v>1.55</v>
      </c>
      <c r="J29" s="176">
        <f t="shared" si="2"/>
        <v>0.46800000000000003</v>
      </c>
      <c r="K29" s="177">
        <f t="shared" si="19"/>
        <v>1.46</v>
      </c>
      <c r="L29" s="165"/>
      <c r="M29" s="178">
        <f t="shared" si="3"/>
        <v>919.8</v>
      </c>
      <c r="N29" s="228">
        <f t="shared" si="16"/>
        <v>3.066E-2</v>
      </c>
      <c r="O29" s="178">
        <f t="shared" si="4"/>
        <v>14.6</v>
      </c>
      <c r="P29" s="179">
        <f t="shared" si="17"/>
        <v>1908</v>
      </c>
      <c r="Q29" s="180">
        <f t="shared" si="5"/>
        <v>6.3600000000000004E-2</v>
      </c>
      <c r="R29" s="166">
        <f t="shared" si="20"/>
        <v>131</v>
      </c>
      <c r="S29" s="181">
        <f t="shared" si="21"/>
        <v>0.33</v>
      </c>
      <c r="T29" s="182">
        <f t="shared" si="22"/>
        <v>194</v>
      </c>
      <c r="U29" s="183">
        <f t="shared" si="23"/>
        <v>0.49</v>
      </c>
      <c r="V29" s="165"/>
      <c r="W29" s="184">
        <f t="shared" si="6"/>
        <v>314.19</v>
      </c>
      <c r="X29" s="185">
        <f t="shared" si="7"/>
        <v>2222.19</v>
      </c>
      <c r="Y29" s="186">
        <f t="shared" si="8"/>
        <v>0.16</v>
      </c>
      <c r="Z29" s="186">
        <f t="shared" si="9"/>
        <v>0.01</v>
      </c>
      <c r="AA29" s="165"/>
      <c r="AB29" s="187">
        <f t="shared" si="10"/>
        <v>27777.81</v>
      </c>
      <c r="AC29" s="186">
        <f t="shared" si="11"/>
        <v>7.0000000000000007E-2</v>
      </c>
      <c r="AD29" s="188">
        <f t="shared" si="12"/>
        <v>1921.9576027397259</v>
      </c>
      <c r="AE29" s="188">
        <f t="shared" si="13"/>
        <v>2317.9576027397261</v>
      </c>
      <c r="AF29" s="189">
        <v>13</v>
      </c>
    </row>
    <row r="30" spans="1:34" s="10" customFormat="1" ht="15" customHeight="1" x14ac:dyDescent="0.2">
      <c r="A30" s="233">
        <v>14</v>
      </c>
      <c r="B30" s="114">
        <f t="shared" si="14"/>
        <v>3</v>
      </c>
      <c r="C30" s="173">
        <f t="shared" si="15"/>
        <v>66</v>
      </c>
      <c r="D30" s="165"/>
      <c r="E30" s="114">
        <f t="shared" si="0"/>
        <v>8</v>
      </c>
      <c r="F30" s="174">
        <f t="shared" ref="F30:G30" si="33">F29+E30</f>
        <v>82</v>
      </c>
      <c r="G30" s="175">
        <f t="shared" si="33"/>
        <v>478</v>
      </c>
      <c r="H30" s="165"/>
      <c r="I30" s="115">
        <f t="shared" si="1"/>
        <v>1.55</v>
      </c>
      <c r="J30" s="176">
        <f t="shared" si="2"/>
        <v>0.72499999999999998</v>
      </c>
      <c r="K30" s="177">
        <f t="shared" si="19"/>
        <v>2.19</v>
      </c>
      <c r="L30" s="165"/>
      <c r="M30" s="178">
        <f t="shared" si="3"/>
        <v>1445.4</v>
      </c>
      <c r="N30" s="228">
        <f t="shared" si="16"/>
        <v>4.8180000000000001E-2</v>
      </c>
      <c r="O30" s="178">
        <f t="shared" si="4"/>
        <v>21.9</v>
      </c>
      <c r="P30" s="179">
        <f t="shared" si="17"/>
        <v>3105.2</v>
      </c>
      <c r="Q30" s="180">
        <f t="shared" si="5"/>
        <v>0.10350666666666666</v>
      </c>
      <c r="R30" s="166">
        <f t="shared" si="20"/>
        <v>142</v>
      </c>
      <c r="S30" s="181">
        <f t="shared" si="21"/>
        <v>0.3</v>
      </c>
      <c r="T30" s="182">
        <f t="shared" si="22"/>
        <v>208</v>
      </c>
      <c r="U30" s="183">
        <f t="shared" si="23"/>
        <v>0.44</v>
      </c>
      <c r="V30" s="165"/>
      <c r="W30" s="184">
        <f t="shared" si="6"/>
        <v>471.29</v>
      </c>
      <c r="X30" s="185">
        <f t="shared" si="7"/>
        <v>3576.49</v>
      </c>
      <c r="Y30" s="186">
        <f t="shared" si="8"/>
        <v>0.15</v>
      </c>
      <c r="Z30" s="186">
        <f t="shared" si="9"/>
        <v>0.02</v>
      </c>
      <c r="AA30" s="165"/>
      <c r="AB30" s="187">
        <f t="shared" si="10"/>
        <v>26423.51</v>
      </c>
      <c r="AC30" s="186">
        <f t="shared" si="11"/>
        <v>0.12</v>
      </c>
      <c r="AD30" s="188">
        <f t="shared" si="12"/>
        <v>1225.9210502283106</v>
      </c>
      <c r="AE30" s="188">
        <f t="shared" si="13"/>
        <v>1703.9210502283106</v>
      </c>
      <c r="AF30" s="189">
        <v>14</v>
      </c>
    </row>
    <row r="31" spans="1:34" s="10" customFormat="1" ht="15" customHeight="1" x14ac:dyDescent="0.2">
      <c r="A31" s="233">
        <v>15</v>
      </c>
      <c r="B31" s="116">
        <f t="shared" si="14"/>
        <v>3</v>
      </c>
      <c r="C31" s="190">
        <f t="shared" si="15"/>
        <v>69</v>
      </c>
      <c r="D31" s="191"/>
      <c r="E31" s="116">
        <f t="shared" si="0"/>
        <v>8</v>
      </c>
      <c r="F31" s="190">
        <f t="shared" ref="F31:G31" si="34">F30+E31</f>
        <v>90</v>
      </c>
      <c r="G31" s="190">
        <f t="shared" si="34"/>
        <v>568</v>
      </c>
      <c r="H31" s="191"/>
      <c r="I31" s="117">
        <f t="shared" si="1"/>
        <v>1.55</v>
      </c>
      <c r="J31" s="192">
        <f t="shared" si="2"/>
        <v>1.1240000000000001</v>
      </c>
      <c r="K31" s="192">
        <f t="shared" si="19"/>
        <v>3.31</v>
      </c>
      <c r="L31" s="193"/>
      <c r="M31" s="194">
        <f t="shared" si="3"/>
        <v>2283.9</v>
      </c>
      <c r="N31" s="229">
        <f t="shared" si="16"/>
        <v>7.6130000000000003E-2</v>
      </c>
      <c r="O31" s="194">
        <f t="shared" si="4"/>
        <v>33.1</v>
      </c>
      <c r="P31" s="195">
        <f t="shared" si="17"/>
        <v>5076.2</v>
      </c>
      <c r="Q31" s="196">
        <f t="shared" si="5"/>
        <v>0.16920666666666667</v>
      </c>
      <c r="R31" s="197">
        <f t="shared" si="20"/>
        <v>153</v>
      </c>
      <c r="S31" s="198">
        <f t="shared" si="21"/>
        <v>0.27</v>
      </c>
      <c r="T31" s="199">
        <f t="shared" si="22"/>
        <v>222</v>
      </c>
      <c r="U31" s="198">
        <f t="shared" si="23"/>
        <v>0.39</v>
      </c>
      <c r="V31" s="200"/>
      <c r="W31" s="201">
        <f t="shared" si="6"/>
        <v>712.31</v>
      </c>
      <c r="X31" s="202">
        <f t="shared" si="7"/>
        <v>5788.51</v>
      </c>
      <c r="Y31" s="203">
        <f t="shared" si="8"/>
        <v>0.14000000000000001</v>
      </c>
      <c r="Z31" s="203">
        <f t="shared" si="9"/>
        <v>0.02</v>
      </c>
      <c r="AA31" s="204"/>
      <c r="AB31" s="205">
        <f t="shared" si="10"/>
        <v>24211.49</v>
      </c>
      <c r="AC31" s="203">
        <f t="shared" si="11"/>
        <v>0.19</v>
      </c>
      <c r="AD31" s="206">
        <f t="shared" si="12"/>
        <v>750.83290030211481</v>
      </c>
      <c r="AE31" s="206">
        <f t="shared" si="13"/>
        <v>1318.8329003021149</v>
      </c>
      <c r="AF31" s="189">
        <v>15</v>
      </c>
    </row>
    <row r="32" spans="1:34" s="10" customFormat="1" ht="15" customHeight="1" x14ac:dyDescent="0.2">
      <c r="A32" s="233">
        <v>16</v>
      </c>
      <c r="B32" s="114">
        <f t="shared" si="14"/>
        <v>3</v>
      </c>
      <c r="C32" s="173">
        <f t="shared" si="15"/>
        <v>72</v>
      </c>
      <c r="D32" s="165"/>
      <c r="E32" s="114">
        <f t="shared" si="0"/>
        <v>8</v>
      </c>
      <c r="F32" s="174">
        <f t="shared" ref="F32:G32" si="35">F31+E32</f>
        <v>98</v>
      </c>
      <c r="G32" s="175">
        <f t="shared" si="35"/>
        <v>666</v>
      </c>
      <c r="H32" s="165"/>
      <c r="I32" s="115">
        <f t="shared" si="1"/>
        <v>1.55</v>
      </c>
      <c r="J32" s="176">
        <f t="shared" si="2"/>
        <v>1.742</v>
      </c>
      <c r="K32" s="177">
        <f t="shared" si="19"/>
        <v>5.05</v>
      </c>
      <c r="L32" s="165"/>
      <c r="M32" s="178">
        <f t="shared" si="3"/>
        <v>3636</v>
      </c>
      <c r="N32" s="228">
        <f t="shared" si="16"/>
        <v>0.1212</v>
      </c>
      <c r="O32" s="178">
        <f t="shared" si="4"/>
        <v>50.5</v>
      </c>
      <c r="P32" s="179">
        <f t="shared" si="17"/>
        <v>8320</v>
      </c>
      <c r="Q32" s="180">
        <f t="shared" si="5"/>
        <v>0.27733333333333332</v>
      </c>
      <c r="R32" s="166">
        <f t="shared" si="20"/>
        <v>165</v>
      </c>
      <c r="S32" s="181">
        <f t="shared" si="21"/>
        <v>0.25</v>
      </c>
      <c r="T32" s="182">
        <f t="shared" si="22"/>
        <v>237</v>
      </c>
      <c r="U32" s="183">
        <f t="shared" si="23"/>
        <v>0.36</v>
      </c>
      <c r="V32" s="165"/>
      <c r="W32" s="184">
        <f t="shared" si="6"/>
        <v>1086.76</v>
      </c>
      <c r="X32" s="185">
        <f t="shared" si="7"/>
        <v>9406.76</v>
      </c>
      <c r="Y32" s="186">
        <f t="shared" si="8"/>
        <v>0.13</v>
      </c>
      <c r="Z32" s="186">
        <f t="shared" si="9"/>
        <v>0.04</v>
      </c>
      <c r="AA32" s="165"/>
      <c r="AB32" s="187">
        <f t="shared" si="10"/>
        <v>20593.240000000002</v>
      </c>
      <c r="AC32" s="186">
        <f t="shared" si="11"/>
        <v>0.31</v>
      </c>
      <c r="AD32" s="188">
        <f t="shared" si="12"/>
        <v>427.15493069306933</v>
      </c>
      <c r="AE32" s="188">
        <f t="shared" si="13"/>
        <v>1093.1549306930692</v>
      </c>
      <c r="AF32" s="189">
        <v>16</v>
      </c>
    </row>
    <row r="33" spans="1:32" s="10" customFormat="1" ht="15" customHeight="1" x14ac:dyDescent="0.2">
      <c r="A33" s="233">
        <v>17</v>
      </c>
      <c r="B33" s="114">
        <f t="shared" si="14"/>
        <v>3</v>
      </c>
      <c r="C33" s="173">
        <f t="shared" si="15"/>
        <v>75</v>
      </c>
      <c r="D33" s="165"/>
      <c r="E33" s="114">
        <f t="shared" si="0"/>
        <v>8</v>
      </c>
      <c r="F33" s="174">
        <f t="shared" ref="F33:G33" si="36">F32+E33</f>
        <v>106</v>
      </c>
      <c r="G33" s="175">
        <f t="shared" si="36"/>
        <v>772</v>
      </c>
      <c r="H33" s="165"/>
      <c r="I33" s="115">
        <f t="shared" si="1"/>
        <v>1.55</v>
      </c>
      <c r="J33" s="176">
        <f t="shared" si="2"/>
        <v>2.7</v>
      </c>
      <c r="K33" s="177">
        <f t="shared" si="19"/>
        <v>7.75</v>
      </c>
      <c r="L33" s="165"/>
      <c r="M33" s="178">
        <f t="shared" si="3"/>
        <v>5812.5</v>
      </c>
      <c r="N33" s="228">
        <f t="shared" si="16"/>
        <v>0.19375000000000001</v>
      </c>
      <c r="O33" s="178">
        <f t="shared" si="4"/>
        <v>77.5</v>
      </c>
      <c r="P33" s="179">
        <f t="shared" si="17"/>
        <v>13673</v>
      </c>
      <c r="Q33" s="180">
        <f t="shared" si="5"/>
        <v>0.45576666666666665</v>
      </c>
      <c r="R33" s="166">
        <f t="shared" si="20"/>
        <v>176</v>
      </c>
      <c r="S33" s="181">
        <f t="shared" si="21"/>
        <v>0.23</v>
      </c>
      <c r="T33" s="182">
        <f t="shared" si="22"/>
        <v>251</v>
      </c>
      <c r="U33" s="183">
        <f t="shared" si="23"/>
        <v>0.33</v>
      </c>
      <c r="V33" s="165"/>
      <c r="W33" s="184">
        <f t="shared" si="6"/>
        <v>1667.8</v>
      </c>
      <c r="X33" s="185">
        <f t="shared" si="7"/>
        <v>15340.8</v>
      </c>
      <c r="Y33" s="186">
        <f t="shared" si="8"/>
        <v>0.12</v>
      </c>
      <c r="Z33" s="186">
        <f t="shared" si="9"/>
        <v>0.06</v>
      </c>
      <c r="AA33" s="165"/>
      <c r="AB33" s="187">
        <f t="shared" si="10"/>
        <v>14659.2</v>
      </c>
      <c r="AC33" s="186">
        <f t="shared" si="11"/>
        <v>0.51</v>
      </c>
      <c r="AD33" s="188">
        <f t="shared" si="12"/>
        <v>208.51896774193548</v>
      </c>
      <c r="AE33" s="188">
        <f t="shared" si="13"/>
        <v>980.51896774193551</v>
      </c>
      <c r="AF33" s="189">
        <v>17</v>
      </c>
    </row>
    <row r="34" spans="1:32" s="10" customFormat="1" ht="15" customHeight="1" x14ac:dyDescent="0.2">
      <c r="A34" s="233">
        <v>18</v>
      </c>
      <c r="B34" s="114">
        <f t="shared" si="14"/>
        <v>3</v>
      </c>
      <c r="C34" s="173">
        <f t="shared" si="15"/>
        <v>78</v>
      </c>
      <c r="D34" s="165"/>
      <c r="E34" s="114">
        <f t="shared" si="0"/>
        <v>8</v>
      </c>
      <c r="F34" s="174">
        <f t="shared" ref="F34:G34" si="37">F33+E34</f>
        <v>114</v>
      </c>
      <c r="G34" s="175">
        <f t="shared" si="37"/>
        <v>886</v>
      </c>
      <c r="H34" s="165"/>
      <c r="I34" s="115">
        <f t="shared" si="1"/>
        <v>1.55</v>
      </c>
      <c r="J34" s="176">
        <f t="shared" si="2"/>
        <v>4.1849999999999996</v>
      </c>
      <c r="K34" s="177">
        <f t="shared" si="19"/>
        <v>11.940000000000001</v>
      </c>
      <c r="L34" s="165"/>
      <c r="M34" s="178">
        <f t="shared" si="3"/>
        <v>9313.2000000000007</v>
      </c>
      <c r="N34" s="228">
        <f t="shared" si="16"/>
        <v>0.31044000000000005</v>
      </c>
      <c r="O34" s="178">
        <f t="shared" si="4"/>
        <v>119.4</v>
      </c>
      <c r="P34" s="179">
        <f t="shared" si="17"/>
        <v>22508</v>
      </c>
      <c r="Q34" s="180">
        <f t="shared" si="5"/>
        <v>0.75026666666666664</v>
      </c>
      <c r="R34" s="166">
        <f t="shared" si="20"/>
        <v>189</v>
      </c>
      <c r="S34" s="181">
        <f t="shared" si="21"/>
        <v>0.21</v>
      </c>
      <c r="T34" s="182">
        <f t="shared" si="22"/>
        <v>267</v>
      </c>
      <c r="U34" s="183">
        <f t="shared" si="23"/>
        <v>0.3</v>
      </c>
      <c r="V34" s="165"/>
      <c r="W34" s="184">
        <f t="shared" si="6"/>
        <v>2569.4899999999998</v>
      </c>
      <c r="X34" s="185">
        <f t="shared" si="7"/>
        <v>25077.49</v>
      </c>
      <c r="Y34" s="186">
        <f t="shared" si="8"/>
        <v>0.11</v>
      </c>
      <c r="Z34" s="186">
        <f t="shared" si="9"/>
        <v>0.09</v>
      </c>
      <c r="AA34" s="165"/>
      <c r="AB34" s="187">
        <f t="shared" si="10"/>
        <v>4922.51</v>
      </c>
      <c r="AC34" s="186">
        <f t="shared" si="11"/>
        <v>0.84</v>
      </c>
      <c r="AD34" s="188">
        <f t="shared" si="12"/>
        <v>60.595067001675041</v>
      </c>
      <c r="AE34" s="188">
        <f t="shared" si="13"/>
        <v>946.59506700167503</v>
      </c>
      <c r="AF34" s="189">
        <v>18</v>
      </c>
    </row>
    <row r="35" spans="1:32" s="10" customFormat="1" ht="15" customHeight="1" x14ac:dyDescent="0.2">
      <c r="A35" s="233">
        <v>19</v>
      </c>
      <c r="B35" s="114">
        <f t="shared" si="14"/>
        <v>3</v>
      </c>
      <c r="C35" s="173">
        <f t="shared" si="15"/>
        <v>81</v>
      </c>
      <c r="D35" s="165"/>
      <c r="E35" s="114">
        <f t="shared" si="0"/>
        <v>8</v>
      </c>
      <c r="F35" s="174">
        <f t="shared" ref="F35:G35" si="38">F34+E35</f>
        <v>122</v>
      </c>
      <c r="G35" s="175">
        <f t="shared" si="38"/>
        <v>1008</v>
      </c>
      <c r="H35" s="165"/>
      <c r="I35" s="115">
        <f t="shared" si="1"/>
        <v>1.55</v>
      </c>
      <c r="J35" s="176">
        <f t="shared" si="2"/>
        <v>6.4870000000000001</v>
      </c>
      <c r="K35" s="177">
        <f t="shared" si="19"/>
        <v>18.43</v>
      </c>
      <c r="L35" s="165"/>
      <c r="M35" s="178">
        <f t="shared" si="3"/>
        <v>14928.3</v>
      </c>
      <c r="N35" s="228">
        <f t="shared" si="16"/>
        <v>0.49761</v>
      </c>
      <c r="O35" s="178">
        <f t="shared" si="4"/>
        <v>184.3</v>
      </c>
      <c r="P35" s="179">
        <f t="shared" si="17"/>
        <v>37074.800000000003</v>
      </c>
      <c r="Q35" s="180">
        <f t="shared" si="5"/>
        <v>1.2358266666666669</v>
      </c>
      <c r="R35" s="166">
        <f t="shared" si="20"/>
        <v>201</v>
      </c>
      <c r="S35" s="181">
        <f t="shared" si="21"/>
        <v>0.2</v>
      </c>
      <c r="T35" s="182">
        <f t="shared" si="22"/>
        <v>282</v>
      </c>
      <c r="U35" s="183">
        <f t="shared" si="23"/>
        <v>0.28000000000000003</v>
      </c>
      <c r="V35" s="165"/>
      <c r="W35" s="184">
        <f t="shared" si="6"/>
        <v>3966.14</v>
      </c>
      <c r="X35" s="185">
        <f t="shared" si="7"/>
        <v>41040.94</v>
      </c>
      <c r="Y35" s="186">
        <f t="shared" si="8"/>
        <v>0.11</v>
      </c>
      <c r="Z35" s="186">
        <f t="shared" si="9"/>
        <v>0.13</v>
      </c>
      <c r="AA35" s="165"/>
      <c r="AB35" s="187">
        <f t="shared" si="10"/>
        <v>-11040.94</v>
      </c>
      <c r="AC35" s="186">
        <f t="shared" si="11"/>
        <v>1.37</v>
      </c>
      <c r="AD35" s="188">
        <f t="shared" si="12"/>
        <v>0</v>
      </c>
      <c r="AE35" s="188">
        <f t="shared" si="13"/>
        <v>0</v>
      </c>
      <c r="AF35" s="189">
        <v>19</v>
      </c>
    </row>
    <row r="36" spans="1:32" s="10" customFormat="1" ht="15" customHeight="1" x14ac:dyDescent="0.2">
      <c r="A36" s="234">
        <v>20</v>
      </c>
      <c r="B36" s="116">
        <f t="shared" si="14"/>
        <v>3</v>
      </c>
      <c r="C36" s="190">
        <f t="shared" si="15"/>
        <v>84</v>
      </c>
      <c r="D36" s="191"/>
      <c r="E36" s="116">
        <f t="shared" si="0"/>
        <v>8</v>
      </c>
      <c r="F36" s="190">
        <f t="shared" ref="F36:G36" si="39">F35+E36</f>
        <v>130</v>
      </c>
      <c r="G36" s="190">
        <f t="shared" si="39"/>
        <v>1138</v>
      </c>
      <c r="H36" s="191"/>
      <c r="I36" s="117">
        <f t="shared" si="1"/>
        <v>1.55</v>
      </c>
      <c r="J36" s="192">
        <f t="shared" si="2"/>
        <v>10.055</v>
      </c>
      <c r="K36" s="192">
        <f t="shared" si="19"/>
        <v>28.490000000000002</v>
      </c>
      <c r="L36" s="193"/>
      <c r="M36" s="194">
        <f t="shared" si="3"/>
        <v>23931.599999999999</v>
      </c>
      <c r="N36" s="229">
        <f t="shared" si="16"/>
        <v>0.79771999999999998</v>
      </c>
      <c r="O36" s="194">
        <f t="shared" si="4"/>
        <v>284.89999999999998</v>
      </c>
      <c r="P36" s="195">
        <f t="shared" si="17"/>
        <v>61033.8</v>
      </c>
      <c r="Q36" s="196">
        <f t="shared" si="5"/>
        <v>2.0344600000000002</v>
      </c>
      <c r="R36" s="197">
        <f t="shared" si="20"/>
        <v>214</v>
      </c>
      <c r="S36" s="198">
        <f t="shared" si="21"/>
        <v>0.19</v>
      </c>
      <c r="T36" s="199">
        <f t="shared" si="22"/>
        <v>298</v>
      </c>
      <c r="U36" s="198">
        <f t="shared" si="23"/>
        <v>0.26</v>
      </c>
      <c r="V36" s="200"/>
      <c r="W36" s="201">
        <f t="shared" si="6"/>
        <v>6131.05</v>
      </c>
      <c r="X36" s="202">
        <f t="shared" si="7"/>
        <v>67164.850000000006</v>
      </c>
      <c r="Y36" s="203">
        <f t="shared" si="8"/>
        <v>0.1</v>
      </c>
      <c r="Z36" s="203">
        <f t="shared" si="9"/>
        <v>0.2</v>
      </c>
      <c r="AA36" s="204"/>
      <c r="AB36" s="205">
        <f t="shared" si="10"/>
        <v>-37164.85</v>
      </c>
      <c r="AC36" s="203">
        <f t="shared" si="11"/>
        <v>2.2400000000000002</v>
      </c>
      <c r="AD36" s="206">
        <f t="shared" si="12"/>
        <v>0</v>
      </c>
      <c r="AE36" s="206">
        <f t="shared" si="13"/>
        <v>0</v>
      </c>
      <c r="AF36" s="189">
        <v>20</v>
      </c>
    </row>
    <row r="37" spans="1:32" s="10" customFormat="1" ht="15" customHeight="1" x14ac:dyDescent="0.2">
      <c r="A37" s="233">
        <v>21</v>
      </c>
      <c r="B37" s="114">
        <f t="shared" si="14"/>
        <v>3</v>
      </c>
      <c r="C37" s="173">
        <f t="shared" si="15"/>
        <v>87</v>
      </c>
      <c r="D37" s="165"/>
      <c r="E37" s="114">
        <f t="shared" si="0"/>
        <v>8</v>
      </c>
      <c r="F37" s="174">
        <f t="shared" ref="F37:G37" si="40">F36+E37</f>
        <v>138</v>
      </c>
      <c r="G37" s="175">
        <f t="shared" si="40"/>
        <v>1276</v>
      </c>
      <c r="H37" s="165"/>
      <c r="I37" s="115">
        <f t="shared" si="1"/>
        <v>1.55</v>
      </c>
      <c r="J37" s="176">
        <f t="shared" si="2"/>
        <v>15.585000000000001</v>
      </c>
      <c r="K37" s="177">
        <f t="shared" si="19"/>
        <v>44.08</v>
      </c>
      <c r="L37" s="165"/>
      <c r="M37" s="178">
        <f t="shared" si="3"/>
        <v>38349.599999999999</v>
      </c>
      <c r="N37" s="228">
        <f t="shared" si="16"/>
        <v>1.2783199999999999</v>
      </c>
      <c r="O37" s="178">
        <f t="shared" si="4"/>
        <v>440.8</v>
      </c>
      <c r="P37" s="179">
        <f t="shared" si="17"/>
        <v>100350</v>
      </c>
      <c r="Q37" s="180">
        <f t="shared" si="5"/>
        <v>3.3450000000000002</v>
      </c>
      <c r="R37" s="166">
        <f t="shared" si="20"/>
        <v>228</v>
      </c>
      <c r="S37" s="181">
        <f t="shared" si="21"/>
        <v>0.18</v>
      </c>
      <c r="T37" s="182">
        <f t="shared" si="22"/>
        <v>315</v>
      </c>
      <c r="U37" s="183">
        <f t="shared" si="23"/>
        <v>0.25</v>
      </c>
      <c r="V37" s="165"/>
      <c r="W37" s="184">
        <f t="shared" si="6"/>
        <v>9486.02</v>
      </c>
      <c r="X37" s="185">
        <f t="shared" si="7"/>
        <v>109836.02</v>
      </c>
      <c r="Y37" s="186">
        <f t="shared" si="8"/>
        <v>0.09</v>
      </c>
      <c r="Z37" s="186">
        <f t="shared" si="9"/>
        <v>0.32</v>
      </c>
      <c r="AA37" s="165"/>
      <c r="AB37" s="187">
        <f t="shared" si="10"/>
        <v>-79836.02</v>
      </c>
      <c r="AC37" s="186">
        <f t="shared" si="11"/>
        <v>3.66</v>
      </c>
      <c r="AD37" s="188">
        <f t="shared" si="12"/>
        <v>0</v>
      </c>
      <c r="AE37" s="188">
        <f t="shared" si="13"/>
        <v>0</v>
      </c>
      <c r="AF37" s="189">
        <v>21</v>
      </c>
    </row>
    <row r="38" spans="1:32" s="10" customFormat="1" ht="15" customHeight="1" x14ac:dyDescent="0.2">
      <c r="A38" s="233">
        <v>22</v>
      </c>
      <c r="B38" s="114">
        <f t="shared" si="14"/>
        <v>3</v>
      </c>
      <c r="C38" s="173">
        <f t="shared" si="15"/>
        <v>90</v>
      </c>
      <c r="D38" s="165"/>
      <c r="E38" s="114">
        <f t="shared" si="0"/>
        <v>8</v>
      </c>
      <c r="F38" s="174">
        <f t="shared" ref="F38:G38" si="41">F37+E38</f>
        <v>146</v>
      </c>
      <c r="G38" s="175">
        <f t="shared" si="41"/>
        <v>1422</v>
      </c>
      <c r="H38" s="165"/>
      <c r="I38" s="115">
        <f t="shared" si="1"/>
        <v>1.55</v>
      </c>
      <c r="J38" s="176">
        <f t="shared" si="2"/>
        <v>24.157</v>
      </c>
      <c r="K38" s="177">
        <f t="shared" si="19"/>
        <v>68.239999999999995</v>
      </c>
      <c r="L38" s="165"/>
      <c r="M38" s="178">
        <f t="shared" si="3"/>
        <v>61416</v>
      </c>
      <c r="N38" s="228">
        <f t="shared" si="16"/>
        <v>2.0472000000000001</v>
      </c>
      <c r="O38" s="178">
        <f t="shared" si="4"/>
        <v>682.4</v>
      </c>
      <c r="P38" s="179">
        <f t="shared" si="17"/>
        <v>164706.79999999999</v>
      </c>
      <c r="Q38" s="180">
        <f t="shared" si="5"/>
        <v>5.4902266666666666</v>
      </c>
      <c r="R38" s="166">
        <f t="shared" si="20"/>
        <v>241</v>
      </c>
      <c r="S38" s="181">
        <f t="shared" si="21"/>
        <v>0.17</v>
      </c>
      <c r="T38" s="182">
        <f t="shared" si="22"/>
        <v>331</v>
      </c>
      <c r="U38" s="183">
        <f t="shared" si="23"/>
        <v>0.23</v>
      </c>
      <c r="V38" s="165"/>
      <c r="W38" s="184">
        <f t="shared" si="6"/>
        <v>14685.25</v>
      </c>
      <c r="X38" s="185">
        <f t="shared" si="7"/>
        <v>179392.05</v>
      </c>
      <c r="Y38" s="186">
        <f t="shared" si="8"/>
        <v>0.09</v>
      </c>
      <c r="Z38" s="186">
        <f t="shared" si="9"/>
        <v>0.49</v>
      </c>
      <c r="AA38" s="165"/>
      <c r="AB38" s="187">
        <f t="shared" si="10"/>
        <v>-149392.04999999999</v>
      </c>
      <c r="AC38" s="186">
        <f t="shared" si="11"/>
        <v>5.98</v>
      </c>
      <c r="AD38" s="188">
        <f t="shared" si="12"/>
        <v>0</v>
      </c>
      <c r="AE38" s="188">
        <f t="shared" si="13"/>
        <v>0</v>
      </c>
      <c r="AF38" s="189">
        <v>22</v>
      </c>
    </row>
    <row r="39" spans="1:32" s="10" customFormat="1" ht="15" customHeight="1" x14ac:dyDescent="0.2">
      <c r="A39" s="234">
        <v>23</v>
      </c>
      <c r="B39" s="114">
        <f t="shared" si="14"/>
        <v>3</v>
      </c>
      <c r="C39" s="173">
        <f t="shared" si="15"/>
        <v>93</v>
      </c>
      <c r="D39" s="165"/>
      <c r="E39" s="114">
        <f t="shared" si="0"/>
        <v>8</v>
      </c>
      <c r="F39" s="174">
        <f t="shared" ref="F39:G39" si="42">F38+E39</f>
        <v>154</v>
      </c>
      <c r="G39" s="175">
        <f t="shared" si="42"/>
        <v>1576</v>
      </c>
      <c r="H39" s="165"/>
      <c r="I39" s="115">
        <f t="shared" si="1"/>
        <v>1.55</v>
      </c>
      <c r="J39" s="176">
        <f t="shared" si="2"/>
        <v>37.442999999999998</v>
      </c>
      <c r="K39" s="177">
        <f t="shared" si="19"/>
        <v>105.67999999999999</v>
      </c>
      <c r="L39" s="165"/>
      <c r="M39" s="178">
        <f t="shared" si="3"/>
        <v>98282.4</v>
      </c>
      <c r="N39" s="228">
        <f t="shared" si="16"/>
        <v>3.2760799999999999</v>
      </c>
      <c r="O39" s="178">
        <f t="shared" si="4"/>
        <v>1056.8</v>
      </c>
      <c r="P39" s="179">
        <f t="shared" si="17"/>
        <v>269796.40000000002</v>
      </c>
      <c r="Q39" s="180">
        <f t="shared" si="5"/>
        <v>8.9932133333333333</v>
      </c>
      <c r="R39" s="166">
        <f t="shared" si="20"/>
        <v>255</v>
      </c>
      <c r="S39" s="181">
        <f t="shared" si="21"/>
        <v>0.16</v>
      </c>
      <c r="T39" s="182">
        <f t="shared" si="22"/>
        <v>348</v>
      </c>
      <c r="U39" s="183">
        <f t="shared" si="23"/>
        <v>0.22</v>
      </c>
      <c r="V39" s="165"/>
      <c r="W39" s="184">
        <f t="shared" si="6"/>
        <v>22742.34</v>
      </c>
      <c r="X39" s="185">
        <f t="shared" si="7"/>
        <v>292538.74</v>
      </c>
      <c r="Y39" s="186">
        <f t="shared" si="8"/>
        <v>0.08</v>
      </c>
      <c r="Z39" s="186">
        <f t="shared" si="9"/>
        <v>0.76</v>
      </c>
      <c r="AA39" s="165"/>
      <c r="AB39" s="235">
        <f t="shared" si="10"/>
        <v>-262538.74</v>
      </c>
      <c r="AC39" s="186">
        <f t="shared" si="11"/>
        <v>9.75</v>
      </c>
      <c r="AD39" s="188">
        <f t="shared" si="12"/>
        <v>0</v>
      </c>
      <c r="AE39" s="188">
        <f t="shared" si="13"/>
        <v>0</v>
      </c>
      <c r="AF39" s="236">
        <v>23</v>
      </c>
    </row>
    <row r="40" spans="1:32" s="10" customFormat="1" ht="15" customHeight="1" x14ac:dyDescent="0.2">
      <c r="A40" s="233">
        <v>24</v>
      </c>
      <c r="B40" s="114">
        <f t="shared" si="14"/>
        <v>3</v>
      </c>
      <c r="C40" s="173">
        <f t="shared" si="15"/>
        <v>96</v>
      </c>
      <c r="D40" s="165"/>
      <c r="E40" s="114">
        <f t="shared" si="0"/>
        <v>8</v>
      </c>
      <c r="F40" s="174">
        <f t="shared" ref="F40:G40" si="43">F39+E40</f>
        <v>162</v>
      </c>
      <c r="G40" s="175">
        <f t="shared" si="43"/>
        <v>1738</v>
      </c>
      <c r="H40" s="165"/>
      <c r="I40" s="115">
        <f t="shared" si="1"/>
        <v>1.55</v>
      </c>
      <c r="J40" s="176">
        <f t="shared" si="2"/>
        <v>58.036999999999999</v>
      </c>
      <c r="K40" s="177">
        <f t="shared" si="19"/>
        <v>163.72</v>
      </c>
      <c r="L40" s="165"/>
      <c r="M40" s="178">
        <f t="shared" si="3"/>
        <v>157171.20000000001</v>
      </c>
      <c r="N40" s="228">
        <f t="shared" si="16"/>
        <v>5.2390400000000001</v>
      </c>
      <c r="O40" s="178">
        <f t="shared" si="4"/>
        <v>1637.2</v>
      </c>
      <c r="P40" s="179">
        <f t="shared" si="17"/>
        <v>440998</v>
      </c>
      <c r="Q40" s="180">
        <f t="shared" si="5"/>
        <v>14.699933333333334</v>
      </c>
      <c r="R40" s="166">
        <f t="shared" si="20"/>
        <v>269</v>
      </c>
      <c r="S40" s="181">
        <f t="shared" si="21"/>
        <v>0.15</v>
      </c>
      <c r="T40" s="182">
        <f t="shared" si="22"/>
        <v>365</v>
      </c>
      <c r="U40" s="183">
        <f t="shared" si="23"/>
        <v>0.21</v>
      </c>
      <c r="V40" s="165"/>
      <c r="W40" s="184">
        <f t="shared" si="6"/>
        <v>35232.54</v>
      </c>
      <c r="X40" s="185">
        <f t="shared" si="7"/>
        <v>476230.54</v>
      </c>
      <c r="Y40" s="186">
        <f t="shared" si="8"/>
        <v>0.08</v>
      </c>
      <c r="Z40" s="186">
        <f t="shared" si="9"/>
        <v>1.17</v>
      </c>
      <c r="AA40" s="165"/>
      <c r="AB40" s="187">
        <f t="shared" si="10"/>
        <v>-446230.54</v>
      </c>
      <c r="AC40" s="186">
        <f t="shared" si="11"/>
        <v>15.87</v>
      </c>
      <c r="AD40" s="188">
        <f t="shared" si="12"/>
        <v>0</v>
      </c>
      <c r="AE40" s="188">
        <f t="shared" si="13"/>
        <v>0</v>
      </c>
      <c r="AF40" s="189">
        <v>24</v>
      </c>
    </row>
    <row r="41" spans="1:32" s="10" customFormat="1" ht="15" customHeight="1" x14ac:dyDescent="0.2">
      <c r="A41" s="233">
        <v>25</v>
      </c>
      <c r="B41" s="116">
        <f t="shared" si="14"/>
        <v>3</v>
      </c>
      <c r="C41" s="190">
        <f t="shared" si="15"/>
        <v>99</v>
      </c>
      <c r="D41" s="191"/>
      <c r="E41" s="116">
        <f t="shared" si="0"/>
        <v>8</v>
      </c>
      <c r="F41" s="190">
        <f t="shared" ref="F41:G41" si="44">F40+E41</f>
        <v>170</v>
      </c>
      <c r="G41" s="190">
        <f t="shared" si="44"/>
        <v>1908</v>
      </c>
      <c r="H41" s="191"/>
      <c r="I41" s="117">
        <f t="shared" si="1"/>
        <v>1.55</v>
      </c>
      <c r="J41" s="192">
        <f t="shared" si="2"/>
        <v>89.956999999999994</v>
      </c>
      <c r="K41" s="192">
        <f t="shared" si="19"/>
        <v>253.68</v>
      </c>
      <c r="L41" s="193"/>
      <c r="M41" s="194">
        <f t="shared" si="3"/>
        <v>251143.2</v>
      </c>
      <c r="N41" s="229">
        <f t="shared" si="16"/>
        <v>8.3714399999999998</v>
      </c>
      <c r="O41" s="194">
        <f t="shared" si="4"/>
        <v>2536.8000000000002</v>
      </c>
      <c r="P41" s="195">
        <f t="shared" si="17"/>
        <v>719322</v>
      </c>
      <c r="Q41" s="196">
        <f t="shared" si="5"/>
        <v>23.977399999999999</v>
      </c>
      <c r="R41" s="197">
        <f t="shared" si="20"/>
        <v>284</v>
      </c>
      <c r="S41" s="198">
        <f t="shared" si="21"/>
        <v>0.15</v>
      </c>
      <c r="T41" s="199">
        <f t="shared" si="22"/>
        <v>383</v>
      </c>
      <c r="U41" s="198">
        <f t="shared" si="23"/>
        <v>0.2</v>
      </c>
      <c r="V41" s="200"/>
      <c r="W41" s="201">
        <f t="shared" si="6"/>
        <v>54591.94</v>
      </c>
      <c r="X41" s="202">
        <f t="shared" si="7"/>
        <v>773913.94</v>
      </c>
      <c r="Y41" s="203">
        <f t="shared" si="8"/>
        <v>0.08</v>
      </c>
      <c r="Z41" s="203">
        <f t="shared" si="9"/>
        <v>1.82</v>
      </c>
      <c r="AA41" s="204"/>
      <c r="AB41" s="205">
        <f t="shared" si="10"/>
        <v>-743913.94</v>
      </c>
      <c r="AC41" s="203">
        <f t="shared" si="11"/>
        <v>25.8</v>
      </c>
      <c r="AD41" s="206">
        <f t="shared" si="12"/>
        <v>0</v>
      </c>
      <c r="AE41" s="206">
        <f t="shared" si="13"/>
        <v>0</v>
      </c>
      <c r="AF41" s="189">
        <v>25</v>
      </c>
    </row>
    <row r="42" spans="1:32" s="10" customFormat="1" ht="15" customHeight="1" x14ac:dyDescent="0.2">
      <c r="A42" s="233">
        <v>26</v>
      </c>
      <c r="B42" s="114">
        <f t="shared" si="14"/>
        <v>3</v>
      </c>
      <c r="C42" s="173">
        <f t="shared" si="15"/>
        <v>102</v>
      </c>
      <c r="D42" s="165"/>
      <c r="E42" s="114">
        <f t="shared" si="0"/>
        <v>8</v>
      </c>
      <c r="F42" s="174">
        <f t="shared" ref="F42:G42" si="45">F41+E42</f>
        <v>178</v>
      </c>
      <c r="G42" s="175">
        <f t="shared" si="45"/>
        <v>2086</v>
      </c>
      <c r="H42" s="165"/>
      <c r="I42" s="115">
        <f t="shared" si="1"/>
        <v>1.55</v>
      </c>
      <c r="J42" s="176">
        <f t="shared" si="2"/>
        <v>139.43299999999999</v>
      </c>
      <c r="K42" s="177">
        <f t="shared" si="19"/>
        <v>393.11</v>
      </c>
      <c r="L42" s="165"/>
      <c r="M42" s="178">
        <f t="shared" si="3"/>
        <v>400972.2</v>
      </c>
      <c r="N42" s="228">
        <f t="shared" si="16"/>
        <v>13.365740000000001</v>
      </c>
      <c r="O42" s="178">
        <f t="shared" si="4"/>
        <v>3931.1</v>
      </c>
      <c r="P42" s="179">
        <f t="shared" si="17"/>
        <v>1170872.3999999999</v>
      </c>
      <c r="Q42" s="180">
        <f t="shared" si="5"/>
        <v>39.02908</v>
      </c>
      <c r="R42" s="166">
        <f t="shared" si="20"/>
        <v>298</v>
      </c>
      <c r="S42" s="181">
        <f t="shared" si="21"/>
        <v>0.14000000000000001</v>
      </c>
      <c r="T42" s="182">
        <f t="shared" si="22"/>
        <v>400</v>
      </c>
      <c r="U42" s="183">
        <f t="shared" si="23"/>
        <v>0.19</v>
      </c>
      <c r="V42" s="165"/>
      <c r="W42" s="184">
        <f t="shared" si="6"/>
        <v>84597.27</v>
      </c>
      <c r="X42" s="185">
        <f t="shared" si="7"/>
        <v>1255469.67</v>
      </c>
      <c r="Y42" s="186">
        <f t="shared" si="8"/>
        <v>7.0000000000000007E-2</v>
      </c>
      <c r="Z42" s="186">
        <f t="shared" si="9"/>
        <v>2.82</v>
      </c>
      <c r="AA42" s="165"/>
      <c r="AB42" s="187">
        <f t="shared" si="10"/>
        <v>-1225469.67</v>
      </c>
      <c r="AC42" s="186">
        <f t="shared" si="11"/>
        <v>41.85</v>
      </c>
      <c r="AD42" s="188">
        <f t="shared" si="12"/>
        <v>0</v>
      </c>
      <c r="AE42" s="188">
        <f t="shared" si="13"/>
        <v>0</v>
      </c>
      <c r="AF42" s="189">
        <v>26</v>
      </c>
    </row>
    <row r="43" spans="1:32" s="10" customFormat="1" ht="15" customHeight="1" x14ac:dyDescent="0.2">
      <c r="A43" s="233">
        <v>27</v>
      </c>
      <c r="B43" s="114">
        <f t="shared" si="14"/>
        <v>3</v>
      </c>
      <c r="C43" s="173">
        <f t="shared" si="15"/>
        <v>105</v>
      </c>
      <c r="D43" s="165"/>
      <c r="E43" s="114">
        <f t="shared" si="0"/>
        <v>8</v>
      </c>
      <c r="F43" s="174">
        <f t="shared" ref="F43:G43" si="46">F42+E43</f>
        <v>186</v>
      </c>
      <c r="G43" s="175">
        <f t="shared" si="46"/>
        <v>2272</v>
      </c>
      <c r="H43" s="165"/>
      <c r="I43" s="115">
        <f t="shared" si="1"/>
        <v>1.55</v>
      </c>
      <c r="J43" s="176">
        <f t="shared" si="2"/>
        <v>216.12100000000001</v>
      </c>
      <c r="K43" s="177">
        <f t="shared" si="19"/>
        <v>609.23</v>
      </c>
      <c r="L43" s="165"/>
      <c r="M43" s="178">
        <f t="shared" si="3"/>
        <v>639691.5</v>
      </c>
      <c r="N43" s="228">
        <f t="shared" si="16"/>
        <v>21.323049999999999</v>
      </c>
      <c r="O43" s="178">
        <f t="shared" si="4"/>
        <v>6092.3</v>
      </c>
      <c r="P43" s="179">
        <f t="shared" si="17"/>
        <v>1902057</v>
      </c>
      <c r="Q43" s="180">
        <f t="shared" si="5"/>
        <v>63.401899999999998</v>
      </c>
      <c r="R43" s="166">
        <f t="shared" si="20"/>
        <v>312</v>
      </c>
      <c r="S43" s="181">
        <f t="shared" si="21"/>
        <v>0.14000000000000001</v>
      </c>
      <c r="T43" s="182">
        <f t="shared" si="22"/>
        <v>417</v>
      </c>
      <c r="U43" s="183">
        <f t="shared" si="23"/>
        <v>0.18</v>
      </c>
      <c r="V43" s="165"/>
      <c r="W43" s="184">
        <f t="shared" si="6"/>
        <v>131106.29999999999</v>
      </c>
      <c r="X43" s="185">
        <f t="shared" si="7"/>
        <v>2033163.3</v>
      </c>
      <c r="Y43" s="186">
        <f t="shared" si="8"/>
        <v>7.0000000000000007E-2</v>
      </c>
      <c r="Z43" s="186">
        <f t="shared" si="9"/>
        <v>4.37</v>
      </c>
      <c r="AA43" s="165"/>
      <c r="AB43" s="187">
        <f t="shared" si="10"/>
        <v>-2003163.3</v>
      </c>
      <c r="AC43" s="186">
        <f t="shared" si="11"/>
        <v>67.77</v>
      </c>
      <c r="AD43" s="188">
        <f t="shared" si="12"/>
        <v>0</v>
      </c>
      <c r="AE43" s="188">
        <f t="shared" si="13"/>
        <v>0</v>
      </c>
      <c r="AF43" s="189">
        <v>27</v>
      </c>
    </row>
    <row r="44" spans="1:32" s="10" customFormat="1" ht="15" customHeight="1" x14ac:dyDescent="0.2">
      <c r="A44" s="233">
        <v>28</v>
      </c>
      <c r="B44" s="114">
        <f t="shared" si="14"/>
        <v>3</v>
      </c>
      <c r="C44" s="173">
        <f t="shared" si="15"/>
        <v>108</v>
      </c>
      <c r="D44" s="165"/>
      <c r="E44" s="114">
        <f t="shared" si="0"/>
        <v>8</v>
      </c>
      <c r="F44" s="174">
        <f t="shared" ref="F44:G44" si="47">F43+E44</f>
        <v>194</v>
      </c>
      <c r="G44" s="175">
        <f t="shared" si="47"/>
        <v>2466</v>
      </c>
      <c r="H44" s="165"/>
      <c r="I44" s="115">
        <f t="shared" si="1"/>
        <v>1.55</v>
      </c>
      <c r="J44" s="176">
        <f t="shared" si="2"/>
        <v>334.988</v>
      </c>
      <c r="K44" s="177">
        <f t="shared" si="19"/>
        <v>944.22</v>
      </c>
      <c r="L44" s="165"/>
      <c r="M44" s="178">
        <f t="shared" si="3"/>
        <v>1019757.6</v>
      </c>
      <c r="N44" s="228">
        <f t="shared" si="16"/>
        <v>33.99192</v>
      </c>
      <c r="O44" s="178">
        <f t="shared" si="4"/>
        <v>9442.2000000000007</v>
      </c>
      <c r="P44" s="179">
        <f t="shared" si="17"/>
        <v>3083963.2</v>
      </c>
      <c r="Q44" s="180">
        <f t="shared" si="5"/>
        <v>102.79877333333334</v>
      </c>
      <c r="R44" s="166">
        <f t="shared" si="20"/>
        <v>327</v>
      </c>
      <c r="S44" s="181">
        <f t="shared" si="21"/>
        <v>0.13</v>
      </c>
      <c r="T44" s="182">
        <f t="shared" si="22"/>
        <v>435</v>
      </c>
      <c r="U44" s="183">
        <f t="shared" si="23"/>
        <v>0.18</v>
      </c>
      <c r="V44" s="165"/>
      <c r="W44" s="184">
        <f t="shared" si="6"/>
        <v>203196.14</v>
      </c>
      <c r="X44" s="185">
        <f t="shared" si="7"/>
        <v>3287159.34</v>
      </c>
      <c r="Y44" s="186">
        <f t="shared" si="8"/>
        <v>7.0000000000000007E-2</v>
      </c>
      <c r="Z44" s="186">
        <f t="shared" si="9"/>
        <v>6.77</v>
      </c>
      <c r="AA44" s="165"/>
      <c r="AB44" s="187">
        <f t="shared" si="10"/>
        <v>-3257159.34</v>
      </c>
      <c r="AC44" s="186">
        <f t="shared" si="11"/>
        <v>109.57</v>
      </c>
      <c r="AD44" s="188">
        <f t="shared" si="12"/>
        <v>0</v>
      </c>
      <c r="AE44" s="188">
        <f t="shared" si="13"/>
        <v>0</v>
      </c>
      <c r="AF44" s="189">
        <v>28</v>
      </c>
    </row>
    <row r="45" spans="1:32" s="10" customFormat="1" ht="15" customHeight="1" x14ac:dyDescent="0.2">
      <c r="A45" s="233">
        <v>29</v>
      </c>
      <c r="B45" s="114">
        <f t="shared" si="14"/>
        <v>3</v>
      </c>
      <c r="C45" s="173">
        <f t="shared" si="15"/>
        <v>111</v>
      </c>
      <c r="D45" s="165"/>
      <c r="E45" s="114">
        <f t="shared" si="0"/>
        <v>0</v>
      </c>
      <c r="F45" s="174">
        <f t="shared" ref="F45:G45" si="48">F44+E45</f>
        <v>194</v>
      </c>
      <c r="G45" s="175">
        <f t="shared" si="48"/>
        <v>2660</v>
      </c>
      <c r="H45" s="165"/>
      <c r="I45" s="115">
        <f t="shared" si="1"/>
        <v>1.55</v>
      </c>
      <c r="J45" s="176">
        <f t="shared" si="2"/>
        <v>519.23099999999999</v>
      </c>
      <c r="K45" s="177">
        <f t="shared" si="19"/>
        <v>1463.45</v>
      </c>
      <c r="L45" s="165"/>
      <c r="M45" s="178">
        <f t="shared" si="3"/>
        <v>1624429.5</v>
      </c>
      <c r="N45" s="228">
        <f t="shared" si="16"/>
        <v>54.147649999999999</v>
      </c>
      <c r="O45" s="178">
        <f t="shared" si="4"/>
        <v>14634.5</v>
      </c>
      <c r="P45" s="179">
        <f t="shared" si="17"/>
        <v>4915750</v>
      </c>
      <c r="Q45" s="180">
        <f t="shared" si="5"/>
        <v>163.85833333333332</v>
      </c>
      <c r="R45" s="166">
        <f t="shared" si="20"/>
        <v>336</v>
      </c>
      <c r="S45" s="181">
        <f t="shared" si="21"/>
        <v>0.13</v>
      </c>
      <c r="T45" s="182">
        <f t="shared" si="22"/>
        <v>447</v>
      </c>
      <c r="U45" s="183">
        <f t="shared" si="23"/>
        <v>0.17</v>
      </c>
      <c r="V45" s="165"/>
      <c r="W45" s="184">
        <f t="shared" si="6"/>
        <v>314934.44</v>
      </c>
      <c r="X45" s="185">
        <f t="shared" si="7"/>
        <v>5230684.4400000004</v>
      </c>
      <c r="Y45" s="186">
        <f t="shared" si="8"/>
        <v>0.06</v>
      </c>
      <c r="Z45" s="186">
        <f t="shared" si="9"/>
        <v>10.5</v>
      </c>
      <c r="AA45" s="165"/>
      <c r="AB45" s="187">
        <f t="shared" si="10"/>
        <v>-5200684.4400000004</v>
      </c>
      <c r="AC45" s="186">
        <f t="shared" si="11"/>
        <v>174.36</v>
      </c>
      <c r="AD45" s="188">
        <f t="shared" si="12"/>
        <v>0</v>
      </c>
      <c r="AE45" s="188">
        <f t="shared" si="13"/>
        <v>0</v>
      </c>
      <c r="AF45" s="189">
        <v>29</v>
      </c>
    </row>
    <row r="46" spans="1:32" s="10" customFormat="1" ht="15" customHeight="1" x14ac:dyDescent="0.2">
      <c r="A46" s="233">
        <v>30</v>
      </c>
      <c r="B46" s="116">
        <f t="shared" si="14"/>
        <v>3</v>
      </c>
      <c r="C46" s="190">
        <f t="shared" si="15"/>
        <v>114</v>
      </c>
      <c r="D46" s="191"/>
      <c r="E46" s="116">
        <f t="shared" si="0"/>
        <v>0</v>
      </c>
      <c r="F46" s="190">
        <f t="shared" ref="F46:G46" si="49">F45+E46</f>
        <v>194</v>
      </c>
      <c r="G46" s="190">
        <f t="shared" si="49"/>
        <v>2854</v>
      </c>
      <c r="H46" s="191"/>
      <c r="I46" s="117">
        <f t="shared" si="1"/>
        <v>1.55</v>
      </c>
      <c r="J46" s="192">
        <f t="shared" si="2"/>
        <v>804.80799999999999</v>
      </c>
      <c r="K46" s="192">
        <f t="shared" si="19"/>
        <v>2268.2600000000002</v>
      </c>
      <c r="L46" s="193"/>
      <c r="M46" s="194">
        <f t="shared" si="3"/>
        <v>2585816.4</v>
      </c>
      <c r="N46" s="229">
        <f t="shared" si="16"/>
        <v>86.193879999999993</v>
      </c>
      <c r="O46" s="194">
        <f t="shared" si="4"/>
        <v>22682.6</v>
      </c>
      <c r="P46" s="195">
        <f t="shared" si="17"/>
        <v>7754843</v>
      </c>
      <c r="Q46" s="196">
        <f t="shared" si="5"/>
        <v>258.49476666666669</v>
      </c>
      <c r="R46" s="197">
        <f t="shared" si="20"/>
        <v>342</v>
      </c>
      <c r="S46" s="198">
        <f t="shared" si="21"/>
        <v>0.12</v>
      </c>
      <c r="T46" s="199">
        <f t="shared" si="22"/>
        <v>456</v>
      </c>
      <c r="U46" s="198">
        <f t="shared" si="23"/>
        <v>0.16</v>
      </c>
      <c r="V46" s="200"/>
      <c r="W46" s="201">
        <f t="shared" si="6"/>
        <v>488129.55</v>
      </c>
      <c r="X46" s="202">
        <f t="shared" si="7"/>
        <v>8242972.5499999998</v>
      </c>
      <c r="Y46" s="203">
        <f t="shared" si="8"/>
        <v>0.06</v>
      </c>
      <c r="Z46" s="203">
        <f t="shared" si="9"/>
        <v>16.27</v>
      </c>
      <c r="AA46" s="204"/>
      <c r="AB46" s="205">
        <f t="shared" si="10"/>
        <v>-8212972.5499999998</v>
      </c>
      <c r="AC46" s="203">
        <f t="shared" si="11"/>
        <v>274.77</v>
      </c>
      <c r="AD46" s="206">
        <f t="shared" si="12"/>
        <v>0</v>
      </c>
      <c r="AE46" s="206">
        <f t="shared" si="13"/>
        <v>0</v>
      </c>
      <c r="AF46" s="189">
        <v>30</v>
      </c>
    </row>
    <row r="47" spans="1:32" s="10" customFormat="1" ht="15" customHeight="1" x14ac:dyDescent="0.2">
      <c r="A47" s="233">
        <v>31</v>
      </c>
      <c r="B47" s="114">
        <f t="shared" si="14"/>
        <v>3</v>
      </c>
      <c r="C47" s="173">
        <f t="shared" si="15"/>
        <v>117</v>
      </c>
      <c r="D47" s="165"/>
      <c r="E47" s="114">
        <f t="shared" si="0"/>
        <v>0</v>
      </c>
      <c r="F47" s="174">
        <f t="shared" ref="F47:G47" si="50">F46+E47</f>
        <v>194</v>
      </c>
      <c r="G47" s="175">
        <f t="shared" si="50"/>
        <v>3048</v>
      </c>
      <c r="H47" s="165"/>
      <c r="I47" s="115">
        <f t="shared" si="1"/>
        <v>1.55</v>
      </c>
      <c r="J47" s="176">
        <f t="shared" si="2"/>
        <v>1247.452</v>
      </c>
      <c r="K47" s="177">
        <f t="shared" si="19"/>
        <v>3515.71</v>
      </c>
      <c r="L47" s="165"/>
      <c r="M47" s="178">
        <f t="shared" si="3"/>
        <v>4113380.7</v>
      </c>
      <c r="N47" s="228">
        <f t="shared" si="16"/>
        <v>137.11269000000001</v>
      </c>
      <c r="O47" s="178">
        <f t="shared" si="4"/>
        <v>35157.1</v>
      </c>
      <c r="P47" s="179">
        <f t="shared" si="17"/>
        <v>12155267.4</v>
      </c>
      <c r="Q47" s="180">
        <f t="shared" si="5"/>
        <v>405.17558000000002</v>
      </c>
      <c r="R47" s="166">
        <f t="shared" si="20"/>
        <v>346</v>
      </c>
      <c r="S47" s="181">
        <f t="shared" si="21"/>
        <v>0.11</v>
      </c>
      <c r="T47" s="182">
        <f t="shared" si="22"/>
        <v>463</v>
      </c>
      <c r="U47" s="183">
        <f t="shared" si="23"/>
        <v>0.15</v>
      </c>
      <c r="V47" s="165"/>
      <c r="W47" s="184">
        <f t="shared" si="6"/>
        <v>756580.79</v>
      </c>
      <c r="X47" s="185">
        <f t="shared" si="7"/>
        <v>12911848.189999999</v>
      </c>
      <c r="Y47" s="186">
        <f t="shared" si="8"/>
        <v>0.06</v>
      </c>
      <c r="Z47" s="186">
        <f t="shared" si="9"/>
        <v>25.22</v>
      </c>
      <c r="AA47" s="165"/>
      <c r="AB47" s="187">
        <f t="shared" si="10"/>
        <v>-12881848.189999999</v>
      </c>
      <c r="AC47" s="186">
        <f t="shared" si="11"/>
        <v>430.39</v>
      </c>
      <c r="AD47" s="188">
        <f t="shared" si="12"/>
        <v>0</v>
      </c>
      <c r="AE47" s="188">
        <f t="shared" si="13"/>
        <v>0</v>
      </c>
      <c r="AF47" s="189">
        <v>31</v>
      </c>
    </row>
    <row r="48" spans="1:32" s="10" customFormat="1" ht="15" customHeight="1" x14ac:dyDescent="0.2">
      <c r="A48" s="233">
        <v>32</v>
      </c>
      <c r="B48" s="114">
        <f t="shared" si="14"/>
        <v>3</v>
      </c>
      <c r="C48" s="173">
        <f t="shared" si="15"/>
        <v>120</v>
      </c>
      <c r="D48" s="165"/>
      <c r="E48" s="114">
        <f t="shared" si="0"/>
        <v>0</v>
      </c>
      <c r="F48" s="174">
        <f t="shared" ref="F48:G48" si="51">F47+E48</f>
        <v>194</v>
      </c>
      <c r="G48" s="175">
        <f t="shared" si="51"/>
        <v>3242</v>
      </c>
      <c r="H48" s="165"/>
      <c r="I48" s="115">
        <f t="shared" si="1"/>
        <v>1.55</v>
      </c>
      <c r="J48" s="176">
        <f t="shared" si="2"/>
        <v>1933.5509999999999</v>
      </c>
      <c r="K48" s="177">
        <f t="shared" si="19"/>
        <v>5449.26</v>
      </c>
      <c r="L48" s="165"/>
      <c r="M48" s="178">
        <f t="shared" si="3"/>
        <v>6539112</v>
      </c>
      <c r="N48" s="228">
        <f t="shared" si="16"/>
        <v>217.97040000000001</v>
      </c>
      <c r="O48" s="178">
        <f t="shared" si="4"/>
        <v>54492.6</v>
      </c>
      <c r="P48" s="179">
        <f t="shared" si="17"/>
        <v>18975744.800000001</v>
      </c>
      <c r="Q48" s="180">
        <f t="shared" si="5"/>
        <v>632.52482666666674</v>
      </c>
      <c r="R48" s="166">
        <f t="shared" si="20"/>
        <v>348</v>
      </c>
      <c r="S48" s="181">
        <f t="shared" si="21"/>
        <v>0.11</v>
      </c>
      <c r="T48" s="182">
        <f t="shared" si="22"/>
        <v>468</v>
      </c>
      <c r="U48" s="183">
        <f t="shared" si="23"/>
        <v>0.14000000000000001</v>
      </c>
      <c r="V48" s="165"/>
      <c r="W48" s="184">
        <f t="shared" si="6"/>
        <v>1172680.75</v>
      </c>
      <c r="X48" s="185">
        <f t="shared" si="7"/>
        <v>20148425.550000001</v>
      </c>
      <c r="Y48" s="186">
        <f t="shared" si="8"/>
        <v>0.06</v>
      </c>
      <c r="Z48" s="186">
        <f t="shared" si="9"/>
        <v>39.090000000000003</v>
      </c>
      <c r="AA48" s="165"/>
      <c r="AB48" s="187">
        <f t="shared" si="10"/>
        <v>-20118425.550000001</v>
      </c>
      <c r="AC48" s="186">
        <f t="shared" si="11"/>
        <v>671.61</v>
      </c>
      <c r="AD48" s="188">
        <f t="shared" si="12"/>
        <v>0</v>
      </c>
      <c r="AE48" s="188">
        <f t="shared" si="13"/>
        <v>0</v>
      </c>
      <c r="AF48" s="189">
        <v>32</v>
      </c>
    </row>
    <row r="49" spans="1:32" s="10" customFormat="1" ht="15" customHeight="1" x14ac:dyDescent="0.2">
      <c r="A49" s="233">
        <v>33</v>
      </c>
      <c r="B49" s="114">
        <f t="shared" si="14"/>
        <v>3</v>
      </c>
      <c r="C49" s="173">
        <f t="shared" si="15"/>
        <v>123</v>
      </c>
      <c r="D49" s="165"/>
      <c r="E49" s="114">
        <f t="shared" ref="E49:E80" si="52">IF(OR($A49&lt;2,AND(G$13&gt;0,$A49&gt;G$13)),0,IF(AND($A49&gt;=G$10,G$10&gt;0),G$11,IF(AND($A49&gt;=G$7,G$7&gt;0),G$8,0)))</f>
        <v>0</v>
      </c>
      <c r="F49" s="174">
        <f t="shared" ref="F49:G49" si="53">F48+E49</f>
        <v>194</v>
      </c>
      <c r="G49" s="175">
        <f t="shared" si="53"/>
        <v>3436</v>
      </c>
      <c r="H49" s="165"/>
      <c r="I49" s="115">
        <f t="shared" ref="I49:I80" si="54">IF(($A49&lt;K$5),1,IF(AND($A49&gt;K$13,K$13&gt;0),I48,IF(AND($A49&gt;=K$10,K$10&gt;0),ROUND(I48+K$11,4),IF(AND($A49&gt;=K$7,K$7&gt;0),ROUND(I48+K$8,4),K$4))))</f>
        <v>1.55</v>
      </c>
      <c r="J49" s="176">
        <f t="shared" ref="J49:J80" si="55">IF($A49&lt;K$5, K$3, IF(K$2=0,IF(K$14&gt;0,IF(K$3*K$14&lt;ROUND(J48*I49, 3),K$3*K$14,ROUND(J48*I49, 3)),ROUND(J48*I49, 3)),IF(K$14&gt;0,IF(K$3*K$14&lt;ROUND(K$3*I49, 3),K$3*K$14,ROUND(K$3*I49, 3)),ROUND(K$3*I49, 3))))</f>
        <v>2997.0039999999999</v>
      </c>
      <c r="K49" s="177">
        <f t="shared" si="19"/>
        <v>8446.26</v>
      </c>
      <c r="L49" s="165"/>
      <c r="M49" s="178">
        <f t="shared" ref="M49:M80" si="56">ROUND(C49*O49-K49*$P$6,2)</f>
        <v>10388899.800000001</v>
      </c>
      <c r="N49" s="228">
        <f t="shared" si="16"/>
        <v>346.29666000000003</v>
      </c>
      <c r="O49" s="178">
        <f t="shared" ref="O49:O80" si="57">ROUND(ROUND(K49,2)*$P$4,2)</f>
        <v>84462.6</v>
      </c>
      <c r="P49" s="179">
        <f t="shared" si="17"/>
        <v>29547309.199999999</v>
      </c>
      <c r="Q49" s="180">
        <f t="shared" ref="Q49:Q80" si="58">P49/$P$10</f>
        <v>984.91030666666666</v>
      </c>
      <c r="R49" s="166">
        <f t="shared" si="20"/>
        <v>350</v>
      </c>
      <c r="S49" s="181">
        <f t="shared" si="21"/>
        <v>0.1</v>
      </c>
      <c r="T49" s="182">
        <f t="shared" si="22"/>
        <v>473</v>
      </c>
      <c r="U49" s="183">
        <f t="shared" si="23"/>
        <v>0.14000000000000001</v>
      </c>
      <c r="V49" s="165"/>
      <c r="W49" s="184">
        <f t="shared" ref="W49:W80" si="59">ROUND(K49*$P$8,2)</f>
        <v>1817635.15</v>
      </c>
      <c r="X49" s="185">
        <f t="shared" ref="X49:X80" si="60">ROUND(P49+W49,2)</f>
        <v>31364944.350000001</v>
      </c>
      <c r="Y49" s="186">
        <f t="shared" ref="Y49:Y80" si="61">IF(P49&gt;0,ROUND(W49/P49,2),0)</f>
        <v>0.06</v>
      </c>
      <c r="Z49" s="186">
        <f t="shared" ref="Z49:Z80" si="62">IF($P$10&gt;0,ROUND(W49/$P$10,2),0)</f>
        <v>60.59</v>
      </c>
      <c r="AA49" s="165"/>
      <c r="AB49" s="187">
        <f t="shared" ref="AB49:AB80" si="63">IF($P$10&gt;0,ROUND($P$10-X49,2),0)</f>
        <v>-31334944.350000001</v>
      </c>
      <c r="AC49" s="186">
        <f t="shared" ref="AC49:AC80" si="64">IF($P$10&gt;0,ROUND(X49/$P$10,2),0)</f>
        <v>1045.5</v>
      </c>
      <c r="AD49" s="188">
        <f t="shared" ref="AD49:AD80" si="65">IF(AND(AB49&gt;0,$P$4&gt;0),($P$10-P49-W49*$P$9)/O49,0)</f>
        <v>0</v>
      </c>
      <c r="AE49" s="188">
        <f t="shared" ref="AE49:AE80" si="66">IF(AD49&gt;0,AD49+G49,0)</f>
        <v>0</v>
      </c>
      <c r="AF49" s="189">
        <v>33</v>
      </c>
    </row>
    <row r="50" spans="1:32" s="10" customFormat="1" ht="15" customHeight="1" x14ac:dyDescent="0.2">
      <c r="A50" s="233">
        <v>34</v>
      </c>
      <c r="B50" s="114">
        <f t="shared" ref="B50:B81" si="67">IF(AND($A50&gt;=C$13,C$13&gt;0),0,IF(AND($A50&gt;=C$10,C$10&gt;0),C$11,IF(AND($A50&gt;=C$7,C$7&gt;0),C$8,0)))</f>
        <v>3</v>
      </c>
      <c r="C50" s="173">
        <f t="shared" ref="C50:C81" si="68">IF(AND($A50&gt;=C$13,C$13&gt;0),C$14,C49+B50)</f>
        <v>126</v>
      </c>
      <c r="D50" s="165"/>
      <c r="E50" s="114">
        <f t="shared" si="52"/>
        <v>0</v>
      </c>
      <c r="F50" s="174">
        <f t="shared" ref="F50:G50" si="69">F49+E50</f>
        <v>194</v>
      </c>
      <c r="G50" s="175">
        <f t="shared" si="69"/>
        <v>3630</v>
      </c>
      <c r="H50" s="165"/>
      <c r="I50" s="115">
        <f t="shared" si="54"/>
        <v>1.55</v>
      </c>
      <c r="J50" s="176">
        <f t="shared" si="55"/>
        <v>4645.3559999999998</v>
      </c>
      <c r="K50" s="177">
        <f t="shared" si="19"/>
        <v>13091.619999999999</v>
      </c>
      <c r="L50" s="165"/>
      <c r="M50" s="178">
        <f t="shared" si="56"/>
        <v>16495441.199999999</v>
      </c>
      <c r="N50" s="228">
        <f t="shared" si="16"/>
        <v>549.84803999999997</v>
      </c>
      <c r="O50" s="178">
        <f t="shared" si="57"/>
        <v>130916.2</v>
      </c>
      <c r="P50" s="179">
        <f t="shared" ref="P50:P81" si="70">ROUND((ROUND(K49,2)*(G50-G49)*$P$4+P49+J50*$P$6),2)</f>
        <v>45933053.600000001</v>
      </c>
      <c r="Q50" s="180">
        <f t="shared" si="58"/>
        <v>1531.1017866666666</v>
      </c>
      <c r="R50" s="166">
        <f t="shared" si="20"/>
        <v>351</v>
      </c>
      <c r="S50" s="181">
        <f t="shared" si="21"/>
        <v>0.1</v>
      </c>
      <c r="T50" s="182">
        <f t="shared" si="22"/>
        <v>477</v>
      </c>
      <c r="U50" s="183">
        <f t="shared" si="23"/>
        <v>0.13</v>
      </c>
      <c r="V50" s="165"/>
      <c r="W50" s="184">
        <f t="shared" si="59"/>
        <v>2817316.62</v>
      </c>
      <c r="X50" s="185">
        <f t="shared" si="60"/>
        <v>48750370.219999999</v>
      </c>
      <c r="Y50" s="186">
        <f t="shared" si="61"/>
        <v>0.06</v>
      </c>
      <c r="Z50" s="186">
        <f t="shared" si="62"/>
        <v>93.91</v>
      </c>
      <c r="AA50" s="165"/>
      <c r="AB50" s="187">
        <f t="shared" si="63"/>
        <v>-48720370.219999999</v>
      </c>
      <c r="AC50" s="186">
        <f t="shared" si="64"/>
        <v>1625.01</v>
      </c>
      <c r="AD50" s="188">
        <f t="shared" si="65"/>
        <v>0</v>
      </c>
      <c r="AE50" s="188">
        <f t="shared" si="66"/>
        <v>0</v>
      </c>
      <c r="AF50" s="189">
        <v>34</v>
      </c>
    </row>
    <row r="51" spans="1:32" s="10" customFormat="1" ht="15" customHeight="1" x14ac:dyDescent="0.2">
      <c r="A51" s="233">
        <v>35</v>
      </c>
      <c r="B51" s="116">
        <f t="shared" si="67"/>
        <v>3</v>
      </c>
      <c r="C51" s="190">
        <f t="shared" si="68"/>
        <v>129</v>
      </c>
      <c r="D51" s="191"/>
      <c r="E51" s="116">
        <f t="shared" si="52"/>
        <v>0</v>
      </c>
      <c r="F51" s="190">
        <f t="shared" ref="F51:G51" si="71">F50+E51</f>
        <v>194</v>
      </c>
      <c r="G51" s="190">
        <f t="shared" si="71"/>
        <v>3824</v>
      </c>
      <c r="H51" s="191"/>
      <c r="I51" s="117">
        <f t="shared" si="54"/>
        <v>1.55</v>
      </c>
      <c r="J51" s="192">
        <f t="shared" si="55"/>
        <v>7200.3019999999997</v>
      </c>
      <c r="K51" s="192">
        <f t="shared" si="19"/>
        <v>20291.919999999998</v>
      </c>
      <c r="L51" s="193"/>
      <c r="M51" s="194">
        <f t="shared" si="56"/>
        <v>26176576.800000001</v>
      </c>
      <c r="N51" s="229">
        <f t="shared" si="16"/>
        <v>872.55255999999997</v>
      </c>
      <c r="O51" s="194">
        <f t="shared" si="57"/>
        <v>202919.2</v>
      </c>
      <c r="P51" s="195">
        <f t="shared" si="70"/>
        <v>71330796.400000006</v>
      </c>
      <c r="Q51" s="196">
        <f t="shared" si="58"/>
        <v>2377.6932133333335</v>
      </c>
      <c r="R51" s="197">
        <f t="shared" si="20"/>
        <v>352</v>
      </c>
      <c r="S51" s="198">
        <f t="shared" si="21"/>
        <v>0.09</v>
      </c>
      <c r="T51" s="199">
        <f t="shared" si="22"/>
        <v>481</v>
      </c>
      <c r="U51" s="198">
        <f t="shared" si="23"/>
        <v>0.13</v>
      </c>
      <c r="V51" s="200"/>
      <c r="W51" s="201">
        <f t="shared" si="59"/>
        <v>4366821.18</v>
      </c>
      <c r="X51" s="202">
        <f t="shared" si="60"/>
        <v>75697617.579999998</v>
      </c>
      <c r="Y51" s="203">
        <f t="shared" si="61"/>
        <v>0.06</v>
      </c>
      <c r="Z51" s="203">
        <f t="shared" si="62"/>
        <v>145.56</v>
      </c>
      <c r="AA51" s="204"/>
      <c r="AB51" s="205">
        <f t="shared" si="63"/>
        <v>-75667617.579999998</v>
      </c>
      <c r="AC51" s="203">
        <f t="shared" si="64"/>
        <v>2523.25</v>
      </c>
      <c r="AD51" s="206">
        <f t="shared" si="65"/>
        <v>0</v>
      </c>
      <c r="AE51" s="206">
        <f t="shared" si="66"/>
        <v>0</v>
      </c>
      <c r="AF51" s="189">
        <v>35</v>
      </c>
    </row>
    <row r="52" spans="1:32" s="10" customFormat="1" ht="15" customHeight="1" x14ac:dyDescent="0.2">
      <c r="A52" s="233">
        <v>36</v>
      </c>
      <c r="B52" s="114">
        <f t="shared" si="67"/>
        <v>3</v>
      </c>
      <c r="C52" s="173">
        <f t="shared" si="68"/>
        <v>132</v>
      </c>
      <c r="D52" s="165"/>
      <c r="E52" s="114">
        <f t="shared" si="52"/>
        <v>0</v>
      </c>
      <c r="F52" s="174">
        <f t="shared" ref="F52:G52" si="72">F51+E52</f>
        <v>194</v>
      </c>
      <c r="G52" s="175">
        <f t="shared" si="72"/>
        <v>4018</v>
      </c>
      <c r="H52" s="165"/>
      <c r="I52" s="115">
        <f t="shared" si="54"/>
        <v>1.55</v>
      </c>
      <c r="J52" s="176">
        <f t="shared" si="55"/>
        <v>11160.468000000001</v>
      </c>
      <c r="K52" s="177">
        <f t="shared" si="19"/>
        <v>31452.39</v>
      </c>
      <c r="L52" s="165"/>
      <c r="M52" s="178">
        <f t="shared" si="56"/>
        <v>41517154.799999997</v>
      </c>
      <c r="N52" s="228">
        <f t="shared" si="16"/>
        <v>1383.9051599999998</v>
      </c>
      <c r="O52" s="178">
        <f t="shared" si="57"/>
        <v>314523.90000000002</v>
      </c>
      <c r="P52" s="179">
        <f t="shared" si="70"/>
        <v>110697121.2</v>
      </c>
      <c r="Q52" s="180">
        <f t="shared" si="58"/>
        <v>3689.9040399999999</v>
      </c>
      <c r="R52" s="166">
        <f t="shared" si="20"/>
        <v>352</v>
      </c>
      <c r="S52" s="181">
        <f t="shared" si="21"/>
        <v>0.09</v>
      </c>
      <c r="T52" s="182">
        <f t="shared" si="22"/>
        <v>484</v>
      </c>
      <c r="U52" s="183">
        <f t="shared" si="23"/>
        <v>0.12</v>
      </c>
      <c r="V52" s="165"/>
      <c r="W52" s="184">
        <f t="shared" si="59"/>
        <v>6768554.3300000001</v>
      </c>
      <c r="X52" s="185">
        <f t="shared" si="60"/>
        <v>117465675.53</v>
      </c>
      <c r="Y52" s="186">
        <f t="shared" si="61"/>
        <v>0.06</v>
      </c>
      <c r="Z52" s="186">
        <f t="shared" si="62"/>
        <v>225.62</v>
      </c>
      <c r="AA52" s="165"/>
      <c r="AB52" s="187">
        <f t="shared" si="63"/>
        <v>-117435675.53</v>
      </c>
      <c r="AC52" s="186">
        <f t="shared" si="64"/>
        <v>3915.52</v>
      </c>
      <c r="AD52" s="188">
        <f t="shared" si="65"/>
        <v>0</v>
      </c>
      <c r="AE52" s="188">
        <f t="shared" si="66"/>
        <v>0</v>
      </c>
      <c r="AF52" s="189">
        <v>36</v>
      </c>
    </row>
    <row r="53" spans="1:32" s="10" customFormat="1" ht="15" customHeight="1" x14ac:dyDescent="0.2">
      <c r="A53" s="233">
        <v>37</v>
      </c>
      <c r="B53" s="114">
        <f t="shared" si="67"/>
        <v>3</v>
      </c>
      <c r="C53" s="173">
        <f t="shared" si="68"/>
        <v>135</v>
      </c>
      <c r="D53" s="165"/>
      <c r="E53" s="114">
        <f t="shared" si="52"/>
        <v>0</v>
      </c>
      <c r="F53" s="174">
        <f t="shared" ref="F53:G53" si="73">F52+E53</f>
        <v>194</v>
      </c>
      <c r="G53" s="175">
        <f t="shared" si="73"/>
        <v>4212</v>
      </c>
      <c r="H53" s="165"/>
      <c r="I53" s="115">
        <f t="shared" si="54"/>
        <v>1.55</v>
      </c>
      <c r="J53" s="176">
        <f t="shared" si="55"/>
        <v>17298.724999999999</v>
      </c>
      <c r="K53" s="177">
        <f t="shared" si="19"/>
        <v>48751.119999999995</v>
      </c>
      <c r="L53" s="165"/>
      <c r="M53" s="178">
        <f t="shared" si="56"/>
        <v>65814012</v>
      </c>
      <c r="N53" s="228">
        <f t="shared" si="16"/>
        <v>2193.8004000000001</v>
      </c>
      <c r="O53" s="178">
        <f t="shared" si="57"/>
        <v>487511.2</v>
      </c>
      <c r="P53" s="179">
        <f t="shared" si="70"/>
        <v>171714757.80000001</v>
      </c>
      <c r="Q53" s="180">
        <f t="shared" si="58"/>
        <v>5723.8252600000005</v>
      </c>
      <c r="R53" s="166">
        <f t="shared" si="20"/>
        <v>352</v>
      </c>
      <c r="S53" s="181">
        <f t="shared" si="21"/>
        <v>0.08</v>
      </c>
      <c r="T53" s="182">
        <f t="shared" si="22"/>
        <v>487</v>
      </c>
      <c r="U53" s="183">
        <f t="shared" si="23"/>
        <v>0.12</v>
      </c>
      <c r="V53" s="165"/>
      <c r="W53" s="184">
        <f t="shared" si="59"/>
        <v>10491241.02</v>
      </c>
      <c r="X53" s="185">
        <f t="shared" si="60"/>
        <v>182205998.81999999</v>
      </c>
      <c r="Y53" s="186">
        <f t="shared" si="61"/>
        <v>0.06</v>
      </c>
      <c r="Z53" s="186">
        <f t="shared" si="62"/>
        <v>349.71</v>
      </c>
      <c r="AA53" s="165"/>
      <c r="AB53" s="187">
        <f t="shared" si="63"/>
        <v>-182175998.81999999</v>
      </c>
      <c r="AC53" s="186">
        <f t="shared" si="64"/>
        <v>6073.53</v>
      </c>
      <c r="AD53" s="188">
        <f t="shared" si="65"/>
        <v>0</v>
      </c>
      <c r="AE53" s="188">
        <f t="shared" si="66"/>
        <v>0</v>
      </c>
      <c r="AF53" s="189">
        <v>37</v>
      </c>
    </row>
    <row r="54" spans="1:32" s="10" customFormat="1" ht="15" customHeight="1" x14ac:dyDescent="0.2">
      <c r="A54" s="233">
        <v>38</v>
      </c>
      <c r="B54" s="114">
        <f t="shared" si="67"/>
        <v>3</v>
      </c>
      <c r="C54" s="173">
        <f t="shared" si="68"/>
        <v>138</v>
      </c>
      <c r="D54" s="165"/>
      <c r="E54" s="114">
        <f t="shared" si="52"/>
        <v>0</v>
      </c>
      <c r="F54" s="174">
        <f t="shared" ref="F54:G54" si="74">F53+E54</f>
        <v>194</v>
      </c>
      <c r="G54" s="175">
        <f t="shared" si="74"/>
        <v>4406</v>
      </c>
      <c r="H54" s="165"/>
      <c r="I54" s="115">
        <f t="shared" si="54"/>
        <v>1.55</v>
      </c>
      <c r="J54" s="176">
        <f t="shared" si="55"/>
        <v>26813.024000000001</v>
      </c>
      <c r="K54" s="177">
        <f t="shared" si="19"/>
        <v>75564.14</v>
      </c>
      <c r="L54" s="165"/>
      <c r="M54" s="178">
        <f t="shared" si="56"/>
        <v>104278513.2</v>
      </c>
      <c r="N54" s="228">
        <f t="shared" si="16"/>
        <v>3475.9504400000001</v>
      </c>
      <c r="O54" s="178">
        <f t="shared" si="57"/>
        <v>755641.4</v>
      </c>
      <c r="P54" s="179">
        <f t="shared" si="70"/>
        <v>266291930.59999999</v>
      </c>
      <c r="Q54" s="180">
        <f t="shared" si="58"/>
        <v>8876.3976866666671</v>
      </c>
      <c r="R54" s="166">
        <f t="shared" si="20"/>
        <v>352</v>
      </c>
      <c r="S54" s="181">
        <f t="shared" si="21"/>
        <v>0.08</v>
      </c>
      <c r="T54" s="182">
        <f t="shared" si="22"/>
        <v>490</v>
      </c>
      <c r="U54" s="183">
        <f t="shared" si="23"/>
        <v>0.11</v>
      </c>
      <c r="V54" s="165"/>
      <c r="W54" s="184">
        <f t="shared" si="59"/>
        <v>16261402.93</v>
      </c>
      <c r="X54" s="185">
        <f t="shared" si="60"/>
        <v>282553333.52999997</v>
      </c>
      <c r="Y54" s="186">
        <f t="shared" si="61"/>
        <v>0.06</v>
      </c>
      <c r="Z54" s="186">
        <f t="shared" si="62"/>
        <v>542.04999999999995</v>
      </c>
      <c r="AA54" s="165"/>
      <c r="AB54" s="187">
        <f t="shared" si="63"/>
        <v>-282523333.52999997</v>
      </c>
      <c r="AC54" s="186">
        <f t="shared" si="64"/>
        <v>9418.44</v>
      </c>
      <c r="AD54" s="188">
        <f t="shared" si="65"/>
        <v>0</v>
      </c>
      <c r="AE54" s="188">
        <f t="shared" si="66"/>
        <v>0</v>
      </c>
      <c r="AF54" s="189">
        <v>38</v>
      </c>
    </row>
    <row r="55" spans="1:32" s="10" customFormat="1" ht="15" customHeight="1" x14ac:dyDescent="0.2">
      <c r="A55" s="233">
        <v>39</v>
      </c>
      <c r="B55" s="114">
        <f t="shared" si="67"/>
        <v>3</v>
      </c>
      <c r="C55" s="173">
        <f t="shared" si="68"/>
        <v>141</v>
      </c>
      <c r="D55" s="165"/>
      <c r="E55" s="114">
        <f t="shared" si="52"/>
        <v>0</v>
      </c>
      <c r="F55" s="174">
        <f t="shared" ref="F55:G55" si="75">F54+E55</f>
        <v>194</v>
      </c>
      <c r="G55" s="175">
        <f t="shared" si="75"/>
        <v>4600</v>
      </c>
      <c r="H55" s="165"/>
      <c r="I55" s="115">
        <f t="shared" si="54"/>
        <v>1.55</v>
      </c>
      <c r="J55" s="176">
        <f t="shared" si="55"/>
        <v>41560.186999999998</v>
      </c>
      <c r="K55" s="177">
        <f t="shared" si="19"/>
        <v>117124.33</v>
      </c>
      <c r="L55" s="165"/>
      <c r="M55" s="178">
        <f t="shared" si="56"/>
        <v>165145305.30000001</v>
      </c>
      <c r="N55" s="228">
        <f t="shared" si="16"/>
        <v>5504.8435100000006</v>
      </c>
      <c r="O55" s="178">
        <f t="shared" si="57"/>
        <v>1171243.3</v>
      </c>
      <c r="P55" s="179">
        <f t="shared" si="70"/>
        <v>412886362.19999999</v>
      </c>
      <c r="Q55" s="180">
        <f t="shared" si="58"/>
        <v>13762.87874</v>
      </c>
      <c r="R55" s="166">
        <f t="shared" si="20"/>
        <v>353</v>
      </c>
      <c r="S55" s="181">
        <f t="shared" si="21"/>
        <v>0.08</v>
      </c>
      <c r="T55" s="182">
        <f t="shared" si="22"/>
        <v>494</v>
      </c>
      <c r="U55" s="183">
        <f t="shared" si="23"/>
        <v>0.11</v>
      </c>
      <c r="V55" s="165"/>
      <c r="W55" s="184">
        <f t="shared" si="59"/>
        <v>25205155.82</v>
      </c>
      <c r="X55" s="185">
        <f t="shared" si="60"/>
        <v>438091518.01999998</v>
      </c>
      <c r="Y55" s="186">
        <f t="shared" si="61"/>
        <v>0.06</v>
      </c>
      <c r="Z55" s="186">
        <f t="shared" si="62"/>
        <v>840.17</v>
      </c>
      <c r="AA55" s="165"/>
      <c r="AB55" s="187">
        <f t="shared" si="63"/>
        <v>-438061518.01999998</v>
      </c>
      <c r="AC55" s="186">
        <f t="shared" si="64"/>
        <v>14603.05</v>
      </c>
      <c r="AD55" s="188">
        <f t="shared" si="65"/>
        <v>0</v>
      </c>
      <c r="AE55" s="188">
        <f t="shared" si="66"/>
        <v>0</v>
      </c>
      <c r="AF55" s="189">
        <v>39</v>
      </c>
    </row>
    <row r="56" spans="1:32" s="10" customFormat="1" ht="15" customHeight="1" x14ac:dyDescent="0.2">
      <c r="A56" s="233">
        <v>40</v>
      </c>
      <c r="B56" s="116">
        <f t="shared" si="67"/>
        <v>3</v>
      </c>
      <c r="C56" s="190">
        <f t="shared" si="68"/>
        <v>144</v>
      </c>
      <c r="D56" s="191"/>
      <c r="E56" s="116">
        <f t="shared" si="52"/>
        <v>0</v>
      </c>
      <c r="F56" s="190">
        <f t="shared" ref="F56:G56" si="76">F55+E56</f>
        <v>194</v>
      </c>
      <c r="G56" s="190">
        <f t="shared" si="76"/>
        <v>4794</v>
      </c>
      <c r="H56" s="191"/>
      <c r="I56" s="117">
        <f t="shared" si="54"/>
        <v>1.55</v>
      </c>
      <c r="J56" s="192">
        <f t="shared" si="55"/>
        <v>64418.29</v>
      </c>
      <c r="K56" s="192">
        <f t="shared" si="19"/>
        <v>181542.62</v>
      </c>
      <c r="L56" s="193"/>
      <c r="M56" s="194">
        <f t="shared" si="56"/>
        <v>261421372.80000001</v>
      </c>
      <c r="N56" s="229">
        <f t="shared" si="16"/>
        <v>8714.0457600000009</v>
      </c>
      <c r="O56" s="194">
        <f t="shared" si="57"/>
        <v>1815426.2</v>
      </c>
      <c r="P56" s="195">
        <f t="shared" si="70"/>
        <v>640107562.39999998</v>
      </c>
      <c r="Q56" s="196">
        <f t="shared" si="58"/>
        <v>21336.918746666666</v>
      </c>
      <c r="R56" s="197">
        <f t="shared" si="20"/>
        <v>353</v>
      </c>
      <c r="S56" s="198">
        <f t="shared" si="21"/>
        <v>7.0000000000000007E-2</v>
      </c>
      <c r="T56" s="199">
        <f t="shared" si="22"/>
        <v>497</v>
      </c>
      <c r="U56" s="198">
        <f t="shared" si="23"/>
        <v>0.1</v>
      </c>
      <c r="V56" s="200"/>
      <c r="W56" s="201">
        <f t="shared" si="59"/>
        <v>39067971.82</v>
      </c>
      <c r="X56" s="202">
        <f t="shared" si="60"/>
        <v>679175534.22000003</v>
      </c>
      <c r="Y56" s="203">
        <f t="shared" si="61"/>
        <v>0.06</v>
      </c>
      <c r="Z56" s="203">
        <f t="shared" si="62"/>
        <v>1302.27</v>
      </c>
      <c r="AA56" s="204"/>
      <c r="AB56" s="205">
        <f t="shared" si="63"/>
        <v>-679145534.22000003</v>
      </c>
      <c r="AC56" s="203">
        <f t="shared" si="64"/>
        <v>22639.18</v>
      </c>
      <c r="AD56" s="206">
        <f t="shared" si="65"/>
        <v>0</v>
      </c>
      <c r="AE56" s="206">
        <f t="shared" si="66"/>
        <v>0</v>
      </c>
      <c r="AF56" s="189">
        <v>40</v>
      </c>
    </row>
    <row r="57" spans="1:32" s="10" customFormat="1" ht="15" customHeight="1" x14ac:dyDescent="0.2">
      <c r="A57" s="233">
        <v>41</v>
      </c>
      <c r="B57" s="114">
        <f t="shared" si="67"/>
        <v>3</v>
      </c>
      <c r="C57" s="173">
        <f t="shared" si="68"/>
        <v>147</v>
      </c>
      <c r="D57" s="165"/>
      <c r="E57" s="114">
        <f t="shared" si="52"/>
        <v>0</v>
      </c>
      <c r="F57" s="174">
        <f t="shared" ref="F57:G57" si="77">F56+E57</f>
        <v>194</v>
      </c>
      <c r="G57" s="175">
        <f t="shared" si="77"/>
        <v>4988</v>
      </c>
      <c r="H57" s="165"/>
      <c r="I57" s="115">
        <f t="shared" si="54"/>
        <v>1.55</v>
      </c>
      <c r="J57" s="176">
        <f t="shared" si="55"/>
        <v>99848.35</v>
      </c>
      <c r="K57" s="177">
        <f t="shared" si="19"/>
        <v>281390.96999999997</v>
      </c>
      <c r="L57" s="165"/>
      <c r="M57" s="178">
        <f t="shared" si="56"/>
        <v>413644725.89999998</v>
      </c>
      <c r="N57" s="228">
        <f t="shared" si="16"/>
        <v>13788.157529999999</v>
      </c>
      <c r="O57" s="178">
        <f t="shared" si="57"/>
        <v>2813909.7</v>
      </c>
      <c r="P57" s="179">
        <f t="shared" si="70"/>
        <v>992300245.20000005</v>
      </c>
      <c r="Q57" s="180">
        <f t="shared" si="58"/>
        <v>33076.67484</v>
      </c>
      <c r="R57" s="166">
        <f t="shared" si="20"/>
        <v>353</v>
      </c>
      <c r="S57" s="181">
        <f t="shared" si="21"/>
        <v>7.0000000000000007E-2</v>
      </c>
      <c r="T57" s="182">
        <f t="shared" si="22"/>
        <v>500</v>
      </c>
      <c r="U57" s="183">
        <f t="shared" si="23"/>
        <v>0.1</v>
      </c>
      <c r="V57" s="165"/>
      <c r="W57" s="184">
        <f t="shared" si="59"/>
        <v>60555336.740000002</v>
      </c>
      <c r="X57" s="185">
        <f t="shared" si="60"/>
        <v>1052855581.9400001</v>
      </c>
      <c r="Y57" s="186">
        <f t="shared" si="61"/>
        <v>0.06</v>
      </c>
      <c r="Z57" s="186">
        <f t="shared" si="62"/>
        <v>2018.51</v>
      </c>
      <c r="AA57" s="165"/>
      <c r="AB57" s="187">
        <f t="shared" si="63"/>
        <v>-1052825581.9400001</v>
      </c>
      <c r="AC57" s="186">
        <f t="shared" si="64"/>
        <v>35095.19</v>
      </c>
      <c r="AD57" s="188">
        <f t="shared" si="65"/>
        <v>0</v>
      </c>
      <c r="AE57" s="188">
        <f t="shared" si="66"/>
        <v>0</v>
      </c>
      <c r="AF57" s="189">
        <v>41</v>
      </c>
    </row>
    <row r="58" spans="1:32" s="10" customFormat="1" ht="15" customHeight="1" x14ac:dyDescent="0.2">
      <c r="A58" s="233">
        <v>42</v>
      </c>
      <c r="B58" s="114">
        <f t="shared" si="67"/>
        <v>3</v>
      </c>
      <c r="C58" s="173">
        <f t="shared" si="68"/>
        <v>150</v>
      </c>
      <c r="D58" s="165"/>
      <c r="E58" s="114">
        <f t="shared" si="52"/>
        <v>0</v>
      </c>
      <c r="F58" s="174">
        <f t="shared" ref="F58:G58" si="78">F57+E58</f>
        <v>194</v>
      </c>
      <c r="G58" s="175">
        <f t="shared" si="78"/>
        <v>5182</v>
      </c>
      <c r="H58" s="165"/>
      <c r="I58" s="115">
        <f t="shared" si="54"/>
        <v>1.55</v>
      </c>
      <c r="J58" s="176">
        <f t="shared" si="55"/>
        <v>154764.943</v>
      </c>
      <c r="K58" s="177">
        <f t="shared" si="19"/>
        <v>436155.91</v>
      </c>
      <c r="L58" s="165"/>
      <c r="M58" s="178">
        <f t="shared" si="56"/>
        <v>654233865</v>
      </c>
      <c r="N58" s="228">
        <f t="shared" si="16"/>
        <v>21807.7955</v>
      </c>
      <c r="O58" s="178">
        <f t="shared" si="57"/>
        <v>4361559.0999999996</v>
      </c>
      <c r="P58" s="179">
        <f t="shared" si="70"/>
        <v>1538198727</v>
      </c>
      <c r="Q58" s="180">
        <f t="shared" si="58"/>
        <v>51273.2909</v>
      </c>
      <c r="R58" s="166">
        <f t="shared" si="20"/>
        <v>353</v>
      </c>
      <c r="S58" s="181">
        <f t="shared" si="21"/>
        <v>7.0000000000000007E-2</v>
      </c>
      <c r="T58" s="182">
        <f t="shared" si="22"/>
        <v>503</v>
      </c>
      <c r="U58" s="183">
        <f t="shared" si="23"/>
        <v>0.1</v>
      </c>
      <c r="V58" s="165"/>
      <c r="W58" s="184">
        <f t="shared" si="59"/>
        <v>93860751.829999998</v>
      </c>
      <c r="X58" s="185">
        <f t="shared" si="60"/>
        <v>1632059478.8299999</v>
      </c>
      <c r="Y58" s="186">
        <f t="shared" si="61"/>
        <v>0.06</v>
      </c>
      <c r="Z58" s="186">
        <f t="shared" si="62"/>
        <v>3128.69</v>
      </c>
      <c r="AA58" s="165"/>
      <c r="AB58" s="187">
        <f t="shared" si="63"/>
        <v>-1632029478.8299999</v>
      </c>
      <c r="AC58" s="186">
        <f t="shared" si="64"/>
        <v>54401.98</v>
      </c>
      <c r="AD58" s="188">
        <f t="shared" si="65"/>
        <v>0</v>
      </c>
      <c r="AE58" s="188">
        <f t="shared" si="66"/>
        <v>0</v>
      </c>
      <c r="AF58" s="189">
        <v>42</v>
      </c>
    </row>
    <row r="59" spans="1:32" s="10" customFormat="1" ht="15" customHeight="1" x14ac:dyDescent="0.2">
      <c r="A59" s="233">
        <v>43</v>
      </c>
      <c r="B59" s="114">
        <f t="shared" si="67"/>
        <v>3</v>
      </c>
      <c r="C59" s="173">
        <f t="shared" si="68"/>
        <v>153</v>
      </c>
      <c r="D59" s="165"/>
      <c r="E59" s="114">
        <f t="shared" si="52"/>
        <v>0</v>
      </c>
      <c r="F59" s="174">
        <f t="shared" ref="F59:G59" si="79">F58+E59</f>
        <v>194</v>
      </c>
      <c r="G59" s="175">
        <f t="shared" si="79"/>
        <v>5376</v>
      </c>
      <c r="H59" s="165"/>
      <c r="I59" s="115">
        <f t="shared" si="54"/>
        <v>1.55</v>
      </c>
      <c r="J59" s="176">
        <f t="shared" si="55"/>
        <v>239885.66200000001</v>
      </c>
      <c r="K59" s="177">
        <f t="shared" si="19"/>
        <v>676041.57</v>
      </c>
      <c r="L59" s="165"/>
      <c r="M59" s="178">
        <f t="shared" si="56"/>
        <v>1034343602.1</v>
      </c>
      <c r="N59" s="228">
        <f t="shared" si="16"/>
        <v>34478.120069999997</v>
      </c>
      <c r="O59" s="178">
        <f t="shared" si="57"/>
        <v>6760415.7000000002</v>
      </c>
      <c r="P59" s="179">
        <f t="shared" si="70"/>
        <v>2384341192.4000001</v>
      </c>
      <c r="Q59" s="180">
        <f t="shared" si="58"/>
        <v>79478.039746666676</v>
      </c>
      <c r="R59" s="166">
        <f t="shared" si="20"/>
        <v>353</v>
      </c>
      <c r="S59" s="181">
        <f t="shared" si="21"/>
        <v>7.0000000000000007E-2</v>
      </c>
      <c r="T59" s="182">
        <f t="shared" si="22"/>
        <v>506</v>
      </c>
      <c r="U59" s="183">
        <f t="shared" si="23"/>
        <v>0.09</v>
      </c>
      <c r="V59" s="165"/>
      <c r="W59" s="184">
        <f t="shared" si="59"/>
        <v>145484145.86000001</v>
      </c>
      <c r="X59" s="185">
        <f t="shared" si="60"/>
        <v>2529825338.2600002</v>
      </c>
      <c r="Y59" s="186">
        <f t="shared" si="61"/>
        <v>0.06</v>
      </c>
      <c r="Z59" s="186">
        <f t="shared" si="62"/>
        <v>4849.47</v>
      </c>
      <c r="AA59" s="165"/>
      <c r="AB59" s="187">
        <f t="shared" si="63"/>
        <v>-2529795338.2600002</v>
      </c>
      <c r="AC59" s="186">
        <f t="shared" si="64"/>
        <v>84327.51</v>
      </c>
      <c r="AD59" s="188">
        <f t="shared" si="65"/>
        <v>0</v>
      </c>
      <c r="AE59" s="188">
        <f t="shared" si="66"/>
        <v>0</v>
      </c>
      <c r="AF59" s="189">
        <v>43</v>
      </c>
    </row>
    <row r="60" spans="1:32" s="10" customFormat="1" ht="15" customHeight="1" x14ac:dyDescent="0.2">
      <c r="A60" s="233">
        <v>44</v>
      </c>
      <c r="B60" s="114">
        <f t="shared" si="67"/>
        <v>3</v>
      </c>
      <c r="C60" s="173">
        <f t="shared" si="68"/>
        <v>156</v>
      </c>
      <c r="D60" s="165"/>
      <c r="E60" s="114">
        <f t="shared" si="52"/>
        <v>0</v>
      </c>
      <c r="F60" s="174">
        <f t="shared" ref="F60:G60" si="80">F59+E60</f>
        <v>194</v>
      </c>
      <c r="G60" s="175">
        <f t="shared" si="80"/>
        <v>5570</v>
      </c>
      <c r="H60" s="165"/>
      <c r="I60" s="115">
        <f t="shared" si="54"/>
        <v>1.55</v>
      </c>
      <c r="J60" s="176">
        <f t="shared" si="55"/>
        <v>371822.77600000001</v>
      </c>
      <c r="K60" s="177">
        <f t="shared" si="19"/>
        <v>1047864.35</v>
      </c>
      <c r="L60" s="165"/>
      <c r="M60" s="178">
        <f t="shared" si="56"/>
        <v>1634668386</v>
      </c>
      <c r="N60" s="228">
        <f t="shared" si="16"/>
        <v>54488.946199999998</v>
      </c>
      <c r="O60" s="178">
        <f t="shared" si="57"/>
        <v>10478643.5</v>
      </c>
      <c r="P60" s="179">
        <f t="shared" si="70"/>
        <v>3695861838.1999998</v>
      </c>
      <c r="Q60" s="180">
        <f t="shared" si="58"/>
        <v>123195.39460666665</v>
      </c>
      <c r="R60" s="166">
        <f t="shared" si="20"/>
        <v>353</v>
      </c>
      <c r="S60" s="181">
        <f t="shared" si="21"/>
        <v>0.06</v>
      </c>
      <c r="T60" s="182">
        <f t="shared" si="22"/>
        <v>509</v>
      </c>
      <c r="U60" s="183">
        <f t="shared" si="23"/>
        <v>0.09</v>
      </c>
      <c r="V60" s="165"/>
      <c r="W60" s="184">
        <f t="shared" si="59"/>
        <v>225500408.12</v>
      </c>
      <c r="X60" s="185">
        <f t="shared" si="60"/>
        <v>3921362246.3200002</v>
      </c>
      <c r="Y60" s="186">
        <f t="shared" si="61"/>
        <v>0.06</v>
      </c>
      <c r="Z60" s="186">
        <f t="shared" si="62"/>
        <v>7516.68</v>
      </c>
      <c r="AA60" s="165"/>
      <c r="AB60" s="187">
        <f t="shared" si="63"/>
        <v>-3921332246.3200002</v>
      </c>
      <c r="AC60" s="186">
        <f t="shared" si="64"/>
        <v>130712.07</v>
      </c>
      <c r="AD60" s="188">
        <f t="shared" si="65"/>
        <v>0</v>
      </c>
      <c r="AE60" s="188">
        <f t="shared" si="66"/>
        <v>0</v>
      </c>
      <c r="AF60" s="189">
        <v>44</v>
      </c>
    </row>
    <row r="61" spans="1:32" s="10" customFormat="1" ht="15" customHeight="1" x14ac:dyDescent="0.2">
      <c r="A61" s="233">
        <v>45</v>
      </c>
      <c r="B61" s="116">
        <f t="shared" si="67"/>
        <v>3</v>
      </c>
      <c r="C61" s="190">
        <f t="shared" si="68"/>
        <v>159</v>
      </c>
      <c r="D61" s="191"/>
      <c r="E61" s="116">
        <f t="shared" si="52"/>
        <v>0</v>
      </c>
      <c r="F61" s="190">
        <f t="shared" ref="F61:G61" si="81">F60+E61</f>
        <v>194</v>
      </c>
      <c r="G61" s="190">
        <f t="shared" si="81"/>
        <v>5764</v>
      </c>
      <c r="H61" s="191"/>
      <c r="I61" s="117">
        <f t="shared" si="54"/>
        <v>1.55</v>
      </c>
      <c r="J61" s="192">
        <f t="shared" si="55"/>
        <v>576325.30299999996</v>
      </c>
      <c r="K61" s="192">
        <f t="shared" si="19"/>
        <v>1624189.65</v>
      </c>
      <c r="L61" s="193"/>
      <c r="M61" s="194">
        <f t="shared" si="56"/>
        <v>2582461543.5</v>
      </c>
      <c r="N61" s="229">
        <f t="shared" si="16"/>
        <v>86082.051449999999</v>
      </c>
      <c r="O61" s="194">
        <f t="shared" si="57"/>
        <v>16241896.5</v>
      </c>
      <c r="P61" s="195">
        <f t="shared" si="70"/>
        <v>5728718677.1999998</v>
      </c>
      <c r="Q61" s="196">
        <f t="shared" si="58"/>
        <v>190957.28923999998</v>
      </c>
      <c r="R61" s="197">
        <f t="shared" si="20"/>
        <v>353</v>
      </c>
      <c r="S61" s="198">
        <f t="shared" si="21"/>
        <v>0.06</v>
      </c>
      <c r="T61" s="199">
        <f t="shared" si="22"/>
        <v>512</v>
      </c>
      <c r="U61" s="198">
        <f t="shared" si="23"/>
        <v>0.09</v>
      </c>
      <c r="V61" s="200"/>
      <c r="W61" s="201">
        <f t="shared" si="59"/>
        <v>349525612.68000001</v>
      </c>
      <c r="X61" s="202">
        <f t="shared" si="60"/>
        <v>6078244289.8800001</v>
      </c>
      <c r="Y61" s="203">
        <f t="shared" si="61"/>
        <v>0.06</v>
      </c>
      <c r="Z61" s="203">
        <f t="shared" si="62"/>
        <v>11650.85</v>
      </c>
      <c r="AA61" s="204"/>
      <c r="AB61" s="205">
        <f t="shared" si="63"/>
        <v>-6078214289.8800001</v>
      </c>
      <c r="AC61" s="203">
        <f t="shared" si="64"/>
        <v>202608.14</v>
      </c>
      <c r="AD61" s="206">
        <f t="shared" si="65"/>
        <v>0</v>
      </c>
      <c r="AE61" s="206">
        <f t="shared" si="66"/>
        <v>0</v>
      </c>
      <c r="AF61" s="189">
        <v>45</v>
      </c>
    </row>
    <row r="62" spans="1:32" s="10" customFormat="1" ht="15" customHeight="1" x14ac:dyDescent="0.2">
      <c r="A62" s="233">
        <v>46</v>
      </c>
      <c r="B62" s="114">
        <f t="shared" si="67"/>
        <v>3</v>
      </c>
      <c r="C62" s="173">
        <f t="shared" si="68"/>
        <v>162</v>
      </c>
      <c r="D62" s="165"/>
      <c r="E62" s="114">
        <f t="shared" si="52"/>
        <v>0</v>
      </c>
      <c r="F62" s="174">
        <f t="shared" ref="F62:G62" si="82">F61+E62</f>
        <v>194</v>
      </c>
      <c r="G62" s="175">
        <f t="shared" si="82"/>
        <v>5958</v>
      </c>
      <c r="H62" s="165"/>
      <c r="I62" s="115">
        <f t="shared" si="54"/>
        <v>1.55</v>
      </c>
      <c r="J62" s="176">
        <f t="shared" si="55"/>
        <v>893304.22</v>
      </c>
      <c r="K62" s="177">
        <f t="shared" si="19"/>
        <v>2517493.87</v>
      </c>
      <c r="L62" s="165"/>
      <c r="M62" s="178">
        <f t="shared" si="56"/>
        <v>4078340069.4000001</v>
      </c>
      <c r="N62" s="228">
        <f t="shared" si="16"/>
        <v>135944.66898000002</v>
      </c>
      <c r="O62" s="178">
        <f t="shared" si="57"/>
        <v>25174938.699999999</v>
      </c>
      <c r="P62" s="179">
        <f t="shared" si="70"/>
        <v>8879646598.2000008</v>
      </c>
      <c r="Q62" s="180">
        <f t="shared" si="58"/>
        <v>295988.21994000004</v>
      </c>
      <c r="R62" s="166">
        <f t="shared" si="20"/>
        <v>353</v>
      </c>
      <c r="S62" s="181">
        <f t="shared" si="21"/>
        <v>0.06</v>
      </c>
      <c r="T62" s="182">
        <f t="shared" si="22"/>
        <v>515</v>
      </c>
      <c r="U62" s="183">
        <f t="shared" si="23"/>
        <v>0.09</v>
      </c>
      <c r="V62" s="165"/>
      <c r="W62" s="184">
        <f t="shared" si="59"/>
        <v>541764680.82000005</v>
      </c>
      <c r="X62" s="185">
        <f t="shared" si="60"/>
        <v>9421411279.0200005</v>
      </c>
      <c r="Y62" s="186">
        <f t="shared" si="61"/>
        <v>0.06</v>
      </c>
      <c r="Z62" s="186">
        <f t="shared" si="62"/>
        <v>18058.82</v>
      </c>
      <c r="AA62" s="165"/>
      <c r="AB62" s="187">
        <f t="shared" si="63"/>
        <v>-9421381279.0200005</v>
      </c>
      <c r="AC62" s="186">
        <f t="shared" si="64"/>
        <v>314047.03999999998</v>
      </c>
      <c r="AD62" s="188">
        <f t="shared" si="65"/>
        <v>0</v>
      </c>
      <c r="AE62" s="188">
        <f t="shared" si="66"/>
        <v>0</v>
      </c>
      <c r="AF62" s="189">
        <v>46</v>
      </c>
    </row>
    <row r="63" spans="1:32" s="10" customFormat="1" ht="15" customHeight="1" x14ac:dyDescent="0.2">
      <c r="A63" s="233">
        <v>47</v>
      </c>
      <c r="B63" s="114">
        <f t="shared" si="67"/>
        <v>3</v>
      </c>
      <c r="C63" s="173">
        <f t="shared" si="68"/>
        <v>165</v>
      </c>
      <c r="D63" s="165"/>
      <c r="E63" s="114">
        <f t="shared" si="52"/>
        <v>0</v>
      </c>
      <c r="F63" s="174">
        <f t="shared" ref="F63:G63" si="83">F62+E63</f>
        <v>194</v>
      </c>
      <c r="G63" s="175">
        <f t="shared" si="83"/>
        <v>6152</v>
      </c>
      <c r="H63" s="165"/>
      <c r="I63" s="115">
        <f t="shared" si="54"/>
        <v>1.55</v>
      </c>
      <c r="J63" s="176">
        <f t="shared" si="55"/>
        <v>1384621.541</v>
      </c>
      <c r="K63" s="177">
        <f t="shared" si="19"/>
        <v>3902115.41</v>
      </c>
      <c r="L63" s="165"/>
      <c r="M63" s="178">
        <f t="shared" si="56"/>
        <v>6438490426.5</v>
      </c>
      <c r="N63" s="228">
        <f t="shared" si="16"/>
        <v>214616.34755000001</v>
      </c>
      <c r="O63" s="178">
        <f t="shared" si="57"/>
        <v>39021154.100000001</v>
      </c>
      <c r="P63" s="179">
        <f t="shared" si="70"/>
        <v>13763584706</v>
      </c>
      <c r="Q63" s="180">
        <f t="shared" si="58"/>
        <v>458786.15686666669</v>
      </c>
      <c r="R63" s="166">
        <f t="shared" si="20"/>
        <v>353</v>
      </c>
      <c r="S63" s="181">
        <f t="shared" si="21"/>
        <v>0.06</v>
      </c>
      <c r="T63" s="182">
        <f t="shared" si="22"/>
        <v>518</v>
      </c>
      <c r="U63" s="183">
        <f t="shared" si="23"/>
        <v>0.08</v>
      </c>
      <c r="V63" s="165"/>
      <c r="W63" s="184">
        <f t="shared" si="59"/>
        <v>839735236.23000002</v>
      </c>
      <c r="X63" s="185">
        <f t="shared" si="60"/>
        <v>14603319942.23</v>
      </c>
      <c r="Y63" s="186">
        <f t="shared" si="61"/>
        <v>0.06</v>
      </c>
      <c r="Z63" s="186">
        <f t="shared" si="62"/>
        <v>27991.17</v>
      </c>
      <c r="AA63" s="165"/>
      <c r="AB63" s="187">
        <f t="shared" si="63"/>
        <v>-14603289942.23</v>
      </c>
      <c r="AC63" s="186">
        <f t="shared" si="64"/>
        <v>486777.33</v>
      </c>
      <c r="AD63" s="188">
        <f t="shared" si="65"/>
        <v>0</v>
      </c>
      <c r="AE63" s="188">
        <f t="shared" si="66"/>
        <v>0</v>
      </c>
      <c r="AF63" s="189">
        <v>47</v>
      </c>
    </row>
    <row r="64" spans="1:32" s="10" customFormat="1" ht="15" customHeight="1" x14ac:dyDescent="0.2">
      <c r="A64" s="233">
        <v>48</v>
      </c>
      <c r="B64" s="114">
        <f t="shared" si="67"/>
        <v>3</v>
      </c>
      <c r="C64" s="173">
        <f t="shared" si="68"/>
        <v>168</v>
      </c>
      <c r="D64" s="165"/>
      <c r="E64" s="114">
        <f t="shared" si="52"/>
        <v>0</v>
      </c>
      <c r="F64" s="174">
        <f t="shared" ref="F64:G64" si="84">F63+E64</f>
        <v>194</v>
      </c>
      <c r="G64" s="175">
        <f t="shared" si="84"/>
        <v>6346</v>
      </c>
      <c r="H64" s="165"/>
      <c r="I64" s="115">
        <f t="shared" si="54"/>
        <v>1.55</v>
      </c>
      <c r="J64" s="176">
        <f t="shared" si="55"/>
        <v>2146163.389</v>
      </c>
      <c r="K64" s="177">
        <f t="shared" si="19"/>
        <v>6048278.8000000007</v>
      </c>
      <c r="L64" s="165"/>
      <c r="M64" s="178">
        <f t="shared" si="56"/>
        <v>10161108384</v>
      </c>
      <c r="N64" s="228">
        <f t="shared" si="16"/>
        <v>338703.6128</v>
      </c>
      <c r="O64" s="178">
        <f t="shared" si="57"/>
        <v>60482788</v>
      </c>
      <c r="P64" s="179">
        <f t="shared" si="70"/>
        <v>21333688601.400002</v>
      </c>
      <c r="Q64" s="180">
        <f t="shared" si="58"/>
        <v>711122.95338000008</v>
      </c>
      <c r="R64" s="166">
        <f t="shared" si="20"/>
        <v>353</v>
      </c>
      <c r="S64" s="181">
        <f t="shared" si="21"/>
        <v>0.06</v>
      </c>
      <c r="T64" s="182">
        <f t="shared" si="22"/>
        <v>521</v>
      </c>
      <c r="U64" s="183">
        <f t="shared" si="23"/>
        <v>0.08</v>
      </c>
      <c r="V64" s="165"/>
      <c r="W64" s="184">
        <f t="shared" si="59"/>
        <v>1301589597.76</v>
      </c>
      <c r="X64" s="185">
        <f t="shared" si="60"/>
        <v>22635278199.16</v>
      </c>
      <c r="Y64" s="186">
        <f t="shared" si="61"/>
        <v>0.06</v>
      </c>
      <c r="Z64" s="186">
        <f t="shared" si="62"/>
        <v>43386.32</v>
      </c>
      <c r="AA64" s="165"/>
      <c r="AB64" s="187">
        <f t="shared" si="63"/>
        <v>-22635248199.16</v>
      </c>
      <c r="AC64" s="186">
        <f t="shared" si="64"/>
        <v>754509.27</v>
      </c>
      <c r="AD64" s="188">
        <f t="shared" si="65"/>
        <v>0</v>
      </c>
      <c r="AE64" s="188">
        <f t="shared" si="66"/>
        <v>0</v>
      </c>
      <c r="AF64" s="189">
        <v>48</v>
      </c>
    </row>
    <row r="65" spans="1:32" s="10" customFormat="1" ht="15" customHeight="1" x14ac:dyDescent="0.2">
      <c r="A65" s="233">
        <v>49</v>
      </c>
      <c r="B65" s="114">
        <f t="shared" si="67"/>
        <v>3</v>
      </c>
      <c r="C65" s="173">
        <f t="shared" si="68"/>
        <v>171</v>
      </c>
      <c r="D65" s="165"/>
      <c r="E65" s="114">
        <f t="shared" si="52"/>
        <v>0</v>
      </c>
      <c r="F65" s="174">
        <f t="shared" ref="F65:G65" si="85">F64+E65</f>
        <v>194</v>
      </c>
      <c r="G65" s="175">
        <f t="shared" si="85"/>
        <v>6540</v>
      </c>
      <c r="H65" s="165"/>
      <c r="I65" s="115">
        <f t="shared" si="54"/>
        <v>1.55</v>
      </c>
      <c r="J65" s="176">
        <f t="shared" si="55"/>
        <v>3326553.253</v>
      </c>
      <c r="K65" s="177">
        <f t="shared" si="19"/>
        <v>9374832.0500000007</v>
      </c>
      <c r="L65" s="165"/>
      <c r="M65" s="178">
        <f t="shared" si="56"/>
        <v>16030962805.5</v>
      </c>
      <c r="N65" s="228">
        <f t="shared" si="16"/>
        <v>534365.42685000005</v>
      </c>
      <c r="O65" s="178">
        <f t="shared" si="57"/>
        <v>93748320.5</v>
      </c>
      <c r="P65" s="179">
        <f t="shared" si="70"/>
        <v>33067349473.400002</v>
      </c>
      <c r="Q65" s="180">
        <f t="shared" si="58"/>
        <v>1102244.9824466668</v>
      </c>
      <c r="R65" s="166">
        <f t="shared" si="20"/>
        <v>353</v>
      </c>
      <c r="S65" s="181">
        <f t="shared" si="21"/>
        <v>0.05</v>
      </c>
      <c r="T65" s="182">
        <f t="shared" si="22"/>
        <v>524</v>
      </c>
      <c r="U65" s="183">
        <f t="shared" si="23"/>
        <v>0.08</v>
      </c>
      <c r="V65" s="165"/>
      <c r="W65" s="184">
        <f t="shared" si="59"/>
        <v>2017463857.1600001</v>
      </c>
      <c r="X65" s="185">
        <f t="shared" si="60"/>
        <v>35084813330.559998</v>
      </c>
      <c r="Y65" s="186">
        <f t="shared" si="61"/>
        <v>0.06</v>
      </c>
      <c r="Z65" s="186">
        <f t="shared" si="62"/>
        <v>67248.800000000003</v>
      </c>
      <c r="AA65" s="165"/>
      <c r="AB65" s="187">
        <f t="shared" si="63"/>
        <v>-35084783330.559998</v>
      </c>
      <c r="AC65" s="186">
        <f t="shared" si="64"/>
        <v>1169493.78</v>
      </c>
      <c r="AD65" s="188">
        <f t="shared" si="65"/>
        <v>0</v>
      </c>
      <c r="AE65" s="188">
        <f t="shared" si="66"/>
        <v>0</v>
      </c>
      <c r="AF65" s="189">
        <v>49</v>
      </c>
    </row>
    <row r="66" spans="1:32" s="10" customFormat="1" ht="15" customHeight="1" x14ac:dyDescent="0.2">
      <c r="A66" s="233">
        <v>50</v>
      </c>
      <c r="B66" s="116">
        <f t="shared" si="67"/>
        <v>3</v>
      </c>
      <c r="C66" s="190">
        <f t="shared" si="68"/>
        <v>174</v>
      </c>
      <c r="D66" s="191"/>
      <c r="E66" s="116">
        <f t="shared" si="52"/>
        <v>0</v>
      </c>
      <c r="F66" s="190">
        <f t="shared" ref="F66:G66" si="86">F65+E66</f>
        <v>194</v>
      </c>
      <c r="G66" s="190">
        <f t="shared" si="86"/>
        <v>6734</v>
      </c>
      <c r="H66" s="191"/>
      <c r="I66" s="117">
        <f t="shared" si="54"/>
        <v>1.55</v>
      </c>
      <c r="J66" s="192">
        <f t="shared" si="55"/>
        <v>5156157.5420000004</v>
      </c>
      <c r="K66" s="192">
        <f t="shared" si="19"/>
        <v>14530989.59</v>
      </c>
      <c r="L66" s="193"/>
      <c r="M66" s="194">
        <f t="shared" si="56"/>
        <v>25283921886.599998</v>
      </c>
      <c r="N66" s="229">
        <f t="shared" si="16"/>
        <v>842797.39622</v>
      </c>
      <c r="O66" s="194">
        <f t="shared" si="57"/>
        <v>145309895.90000001</v>
      </c>
      <c r="P66" s="195">
        <f t="shared" si="70"/>
        <v>51254523650.400002</v>
      </c>
      <c r="Q66" s="196">
        <f t="shared" si="58"/>
        <v>1708484.1216800001</v>
      </c>
      <c r="R66" s="197">
        <f t="shared" si="20"/>
        <v>353</v>
      </c>
      <c r="S66" s="198">
        <f t="shared" si="21"/>
        <v>0.05</v>
      </c>
      <c r="T66" s="199">
        <f t="shared" si="22"/>
        <v>527</v>
      </c>
      <c r="U66" s="198">
        <f t="shared" si="23"/>
        <v>0.08</v>
      </c>
      <c r="V66" s="200"/>
      <c r="W66" s="201">
        <f t="shared" si="59"/>
        <v>3127068959.77</v>
      </c>
      <c r="X66" s="202">
        <f t="shared" si="60"/>
        <v>54381592610.169998</v>
      </c>
      <c r="Y66" s="203">
        <f t="shared" si="61"/>
        <v>0.06</v>
      </c>
      <c r="Z66" s="203">
        <f t="shared" si="62"/>
        <v>104235.63</v>
      </c>
      <c r="AA66" s="204"/>
      <c r="AB66" s="205">
        <f t="shared" si="63"/>
        <v>-54381562610.169998</v>
      </c>
      <c r="AC66" s="203">
        <f t="shared" si="64"/>
        <v>1812719.75</v>
      </c>
      <c r="AD66" s="206">
        <f t="shared" si="65"/>
        <v>0</v>
      </c>
      <c r="AE66" s="206">
        <f t="shared" si="66"/>
        <v>0</v>
      </c>
      <c r="AF66" s="189">
        <v>50</v>
      </c>
    </row>
    <row r="67" spans="1:32" s="10" customFormat="1" ht="15" customHeight="1" x14ac:dyDescent="0.2">
      <c r="A67" s="233">
        <v>51</v>
      </c>
      <c r="B67" s="114">
        <f t="shared" si="67"/>
        <v>3</v>
      </c>
      <c r="C67" s="173">
        <f t="shared" si="68"/>
        <v>177</v>
      </c>
      <c r="D67" s="165"/>
      <c r="E67" s="114">
        <f t="shared" si="52"/>
        <v>0</v>
      </c>
      <c r="F67" s="174">
        <f t="shared" ref="F67:G67" si="87">F66+E67</f>
        <v>194</v>
      </c>
      <c r="G67" s="175">
        <f t="shared" si="87"/>
        <v>6928</v>
      </c>
      <c r="H67" s="165"/>
      <c r="I67" s="115">
        <f t="shared" si="54"/>
        <v>1.55</v>
      </c>
      <c r="J67" s="176">
        <f t="shared" si="55"/>
        <v>7992044.1900000004</v>
      </c>
      <c r="K67" s="177">
        <f t="shared" si="19"/>
        <v>22523033.780000001</v>
      </c>
      <c r="L67" s="165"/>
      <c r="M67" s="178">
        <f t="shared" si="56"/>
        <v>39865769790.599998</v>
      </c>
      <c r="N67" s="228">
        <f t="shared" si="16"/>
        <v>1328858.9930199999</v>
      </c>
      <c r="O67" s="178">
        <f t="shared" si="57"/>
        <v>225230337.80000001</v>
      </c>
      <c r="P67" s="179">
        <f t="shared" si="70"/>
        <v>79444643455</v>
      </c>
      <c r="Q67" s="180">
        <f t="shared" si="58"/>
        <v>2648154.7818333334</v>
      </c>
      <c r="R67" s="166">
        <f t="shared" si="20"/>
        <v>353</v>
      </c>
      <c r="S67" s="181">
        <f t="shared" si="21"/>
        <v>0.05</v>
      </c>
      <c r="T67" s="182">
        <f t="shared" si="22"/>
        <v>530</v>
      </c>
      <c r="U67" s="183">
        <f t="shared" si="23"/>
        <v>0.08</v>
      </c>
      <c r="V67" s="165"/>
      <c r="W67" s="184">
        <f t="shared" si="59"/>
        <v>4846956869.46</v>
      </c>
      <c r="X67" s="185">
        <f t="shared" si="60"/>
        <v>84291600324.460007</v>
      </c>
      <c r="Y67" s="186">
        <f t="shared" si="61"/>
        <v>0.06</v>
      </c>
      <c r="Z67" s="186">
        <f t="shared" si="62"/>
        <v>161565.23000000001</v>
      </c>
      <c r="AA67" s="165"/>
      <c r="AB67" s="187">
        <f t="shared" si="63"/>
        <v>-84291570324.460007</v>
      </c>
      <c r="AC67" s="186">
        <f t="shared" si="64"/>
        <v>2809720.01</v>
      </c>
      <c r="AD67" s="188">
        <f t="shared" si="65"/>
        <v>0</v>
      </c>
      <c r="AE67" s="188">
        <f t="shared" si="66"/>
        <v>0</v>
      </c>
      <c r="AF67" s="189">
        <v>51</v>
      </c>
    </row>
    <row r="68" spans="1:32" s="10" customFormat="1" ht="15" customHeight="1" x14ac:dyDescent="0.2">
      <c r="A68" s="233">
        <v>52</v>
      </c>
      <c r="B68" s="114">
        <f t="shared" si="67"/>
        <v>3</v>
      </c>
      <c r="C68" s="173">
        <f t="shared" si="68"/>
        <v>180</v>
      </c>
      <c r="D68" s="165"/>
      <c r="E68" s="114">
        <f t="shared" si="52"/>
        <v>0</v>
      </c>
      <c r="F68" s="174">
        <f t="shared" ref="F68:G68" si="88">F67+E68</f>
        <v>194</v>
      </c>
      <c r="G68" s="175">
        <f t="shared" si="88"/>
        <v>7122</v>
      </c>
      <c r="H68" s="165"/>
      <c r="I68" s="115">
        <f t="shared" si="54"/>
        <v>1.55</v>
      </c>
      <c r="J68" s="176">
        <f t="shared" si="55"/>
        <v>12387668.494999999</v>
      </c>
      <c r="K68" s="177">
        <f t="shared" si="19"/>
        <v>34910702.280000001</v>
      </c>
      <c r="L68" s="165"/>
      <c r="M68" s="178">
        <f t="shared" si="56"/>
        <v>62839264104</v>
      </c>
      <c r="N68" s="228">
        <f t="shared" si="16"/>
        <v>2094642.1368</v>
      </c>
      <c r="O68" s="178">
        <f t="shared" si="57"/>
        <v>349107022.80000001</v>
      </c>
      <c r="P68" s="179">
        <f t="shared" si="70"/>
        <v>123139328988.2</v>
      </c>
      <c r="Q68" s="180">
        <f t="shared" si="58"/>
        <v>4104644.2996066664</v>
      </c>
      <c r="R68" s="166">
        <f t="shared" si="20"/>
        <v>353</v>
      </c>
      <c r="S68" s="181">
        <f t="shared" si="21"/>
        <v>0.05</v>
      </c>
      <c r="T68" s="182">
        <f t="shared" si="22"/>
        <v>533</v>
      </c>
      <c r="U68" s="183">
        <f t="shared" si="23"/>
        <v>7.0000000000000007E-2</v>
      </c>
      <c r="V68" s="165"/>
      <c r="W68" s="184">
        <f t="shared" si="59"/>
        <v>7512783130.6599998</v>
      </c>
      <c r="X68" s="185">
        <f t="shared" si="60"/>
        <v>130652112118.86</v>
      </c>
      <c r="Y68" s="186">
        <f t="shared" si="61"/>
        <v>0.06</v>
      </c>
      <c r="Z68" s="186">
        <f t="shared" si="62"/>
        <v>250426.1</v>
      </c>
      <c r="AA68" s="165"/>
      <c r="AB68" s="187">
        <f t="shared" si="63"/>
        <v>-130652082118.86</v>
      </c>
      <c r="AC68" s="186">
        <f t="shared" si="64"/>
        <v>4355070.4000000004</v>
      </c>
      <c r="AD68" s="188">
        <f t="shared" si="65"/>
        <v>0</v>
      </c>
      <c r="AE68" s="188">
        <f t="shared" si="66"/>
        <v>0</v>
      </c>
      <c r="AF68" s="189">
        <v>52</v>
      </c>
    </row>
    <row r="69" spans="1:32" s="10" customFormat="1" ht="15" customHeight="1" x14ac:dyDescent="0.2">
      <c r="A69" s="233">
        <v>53</v>
      </c>
      <c r="B69" s="114">
        <f t="shared" si="67"/>
        <v>3</v>
      </c>
      <c r="C69" s="173">
        <f t="shared" si="68"/>
        <v>183</v>
      </c>
      <c r="D69" s="165"/>
      <c r="E69" s="114">
        <f t="shared" si="52"/>
        <v>0</v>
      </c>
      <c r="F69" s="174">
        <f t="shared" ref="F69:G69" si="89">F68+E69</f>
        <v>194</v>
      </c>
      <c r="G69" s="175">
        <f t="shared" si="89"/>
        <v>7316</v>
      </c>
      <c r="H69" s="165"/>
      <c r="I69" s="115">
        <f t="shared" si="54"/>
        <v>1.55</v>
      </c>
      <c r="J69" s="176">
        <f t="shared" si="55"/>
        <v>19200886.166999999</v>
      </c>
      <c r="K69" s="177">
        <f t="shared" si="19"/>
        <v>54111588.450000003</v>
      </c>
      <c r="L69" s="165"/>
      <c r="M69" s="178">
        <f t="shared" si="56"/>
        <v>99024206863.5</v>
      </c>
      <c r="N69" s="228">
        <f t="shared" si="16"/>
        <v>3300806.8954500002</v>
      </c>
      <c r="O69" s="178">
        <f t="shared" si="57"/>
        <v>541115884.5</v>
      </c>
      <c r="P69" s="179">
        <f t="shared" si="70"/>
        <v>190866091411.39999</v>
      </c>
      <c r="Q69" s="180">
        <f t="shared" si="58"/>
        <v>6362203.047046666</v>
      </c>
      <c r="R69" s="166">
        <f t="shared" si="20"/>
        <v>353</v>
      </c>
      <c r="S69" s="181">
        <f t="shared" si="21"/>
        <v>0.05</v>
      </c>
      <c r="T69" s="182">
        <f t="shared" si="22"/>
        <v>536</v>
      </c>
      <c r="U69" s="183">
        <f t="shared" si="23"/>
        <v>7.0000000000000007E-2</v>
      </c>
      <c r="V69" s="165"/>
      <c r="W69" s="184">
        <f t="shared" si="59"/>
        <v>11644813834.440001</v>
      </c>
      <c r="X69" s="185">
        <f t="shared" si="60"/>
        <v>202510905245.84</v>
      </c>
      <c r="Y69" s="186">
        <f t="shared" si="61"/>
        <v>0.06</v>
      </c>
      <c r="Z69" s="186">
        <f t="shared" si="62"/>
        <v>388160.46</v>
      </c>
      <c r="AA69" s="165"/>
      <c r="AB69" s="187">
        <f t="shared" si="63"/>
        <v>-202510875245.84</v>
      </c>
      <c r="AC69" s="186">
        <f t="shared" si="64"/>
        <v>6750363.5099999998</v>
      </c>
      <c r="AD69" s="188">
        <f t="shared" si="65"/>
        <v>0</v>
      </c>
      <c r="AE69" s="188">
        <f t="shared" si="66"/>
        <v>0</v>
      </c>
      <c r="AF69" s="189">
        <v>53</v>
      </c>
    </row>
    <row r="70" spans="1:32" s="10" customFormat="1" ht="15" customHeight="1" x14ac:dyDescent="0.2">
      <c r="A70" s="233">
        <v>54</v>
      </c>
      <c r="B70" s="114">
        <f t="shared" si="67"/>
        <v>3</v>
      </c>
      <c r="C70" s="173">
        <f t="shared" si="68"/>
        <v>186</v>
      </c>
      <c r="D70" s="165"/>
      <c r="E70" s="114">
        <f t="shared" si="52"/>
        <v>0</v>
      </c>
      <c r="F70" s="174">
        <f t="shared" ref="F70:G70" si="90">F69+E70</f>
        <v>194</v>
      </c>
      <c r="G70" s="175">
        <f t="shared" si="90"/>
        <v>7510</v>
      </c>
      <c r="H70" s="165"/>
      <c r="I70" s="115">
        <f t="shared" si="54"/>
        <v>1.55</v>
      </c>
      <c r="J70" s="176">
        <f t="shared" si="55"/>
        <v>29761373.559</v>
      </c>
      <c r="K70" s="177">
        <f t="shared" si="19"/>
        <v>83872962.010000005</v>
      </c>
      <c r="L70" s="165"/>
      <c r="M70" s="178">
        <f t="shared" si="56"/>
        <v>156003709338.60001</v>
      </c>
      <c r="N70" s="228">
        <f t="shared" si="16"/>
        <v>5200123.6446200004</v>
      </c>
      <c r="O70" s="178">
        <f t="shared" si="57"/>
        <v>838729620.10000002</v>
      </c>
      <c r="P70" s="179">
        <f t="shared" si="70"/>
        <v>295842573004.40002</v>
      </c>
      <c r="Q70" s="180">
        <f t="shared" si="58"/>
        <v>9861419.100146668</v>
      </c>
      <c r="R70" s="166">
        <f t="shared" si="20"/>
        <v>353</v>
      </c>
      <c r="S70" s="181">
        <f t="shared" si="21"/>
        <v>0.05</v>
      </c>
      <c r="T70" s="182">
        <f t="shared" si="22"/>
        <v>539</v>
      </c>
      <c r="U70" s="183">
        <f t="shared" si="23"/>
        <v>7.0000000000000007E-2</v>
      </c>
      <c r="V70" s="165"/>
      <c r="W70" s="184">
        <f t="shared" si="59"/>
        <v>18049461424.549999</v>
      </c>
      <c r="X70" s="185">
        <f t="shared" si="60"/>
        <v>313892034428.95001</v>
      </c>
      <c r="Y70" s="186">
        <f t="shared" si="61"/>
        <v>0.06</v>
      </c>
      <c r="Z70" s="186">
        <f t="shared" si="62"/>
        <v>601648.71</v>
      </c>
      <c r="AA70" s="165"/>
      <c r="AB70" s="187">
        <f t="shared" si="63"/>
        <v>-313892004428.95001</v>
      </c>
      <c r="AC70" s="186">
        <f t="shared" si="64"/>
        <v>10463067.810000001</v>
      </c>
      <c r="AD70" s="188">
        <f t="shared" si="65"/>
        <v>0</v>
      </c>
      <c r="AE70" s="188">
        <f t="shared" si="66"/>
        <v>0</v>
      </c>
      <c r="AF70" s="189">
        <v>54</v>
      </c>
    </row>
    <row r="71" spans="1:32" s="10" customFormat="1" ht="15" customHeight="1" x14ac:dyDescent="0.2">
      <c r="A71" s="233">
        <v>55</v>
      </c>
      <c r="B71" s="116">
        <f t="shared" si="67"/>
        <v>3</v>
      </c>
      <c r="C71" s="190">
        <f t="shared" si="68"/>
        <v>189</v>
      </c>
      <c r="D71" s="191"/>
      <c r="E71" s="116">
        <f t="shared" si="52"/>
        <v>0</v>
      </c>
      <c r="F71" s="190">
        <f t="shared" ref="F71:G71" si="91">F70+E71</f>
        <v>194</v>
      </c>
      <c r="G71" s="190">
        <f t="shared" si="91"/>
        <v>7704</v>
      </c>
      <c r="H71" s="191"/>
      <c r="I71" s="117">
        <f t="shared" si="54"/>
        <v>1.55</v>
      </c>
      <c r="J71" s="192">
        <f t="shared" si="55"/>
        <v>46130129.016000003</v>
      </c>
      <c r="K71" s="192">
        <f t="shared" si="19"/>
        <v>130003091.03</v>
      </c>
      <c r="L71" s="193"/>
      <c r="M71" s="194">
        <f t="shared" si="56"/>
        <v>245705842046.70001</v>
      </c>
      <c r="N71" s="229">
        <f t="shared" si="16"/>
        <v>8190194.73489</v>
      </c>
      <c r="O71" s="194">
        <f t="shared" si="57"/>
        <v>1300030910.3</v>
      </c>
      <c r="P71" s="195">
        <f t="shared" si="70"/>
        <v>458556119303.79999</v>
      </c>
      <c r="Q71" s="196">
        <f t="shared" si="58"/>
        <v>15285203.976793332</v>
      </c>
      <c r="R71" s="197">
        <f t="shared" si="20"/>
        <v>353</v>
      </c>
      <c r="S71" s="198">
        <f t="shared" si="21"/>
        <v>0.05</v>
      </c>
      <c r="T71" s="199">
        <f t="shared" si="22"/>
        <v>542</v>
      </c>
      <c r="U71" s="198">
        <f t="shared" si="23"/>
        <v>7.0000000000000007E-2</v>
      </c>
      <c r="V71" s="200"/>
      <c r="W71" s="201">
        <f t="shared" si="59"/>
        <v>27976665189.66</v>
      </c>
      <c r="X71" s="202">
        <f t="shared" si="60"/>
        <v>486532784493.46002</v>
      </c>
      <c r="Y71" s="203">
        <f t="shared" si="61"/>
        <v>0.06</v>
      </c>
      <c r="Z71" s="203">
        <f t="shared" si="62"/>
        <v>932555.51</v>
      </c>
      <c r="AA71" s="204"/>
      <c r="AB71" s="205">
        <f t="shared" si="63"/>
        <v>-486532754493.46002</v>
      </c>
      <c r="AC71" s="203">
        <f t="shared" si="64"/>
        <v>16217759.48</v>
      </c>
      <c r="AD71" s="206">
        <f t="shared" si="65"/>
        <v>0</v>
      </c>
      <c r="AE71" s="206">
        <f t="shared" si="66"/>
        <v>0</v>
      </c>
      <c r="AF71" s="189">
        <v>55</v>
      </c>
    </row>
    <row r="72" spans="1:32" s="10" customFormat="1" ht="15" customHeight="1" x14ac:dyDescent="0.2">
      <c r="A72" s="172">
        <v>56</v>
      </c>
      <c r="B72" s="114">
        <f t="shared" si="67"/>
        <v>3</v>
      </c>
      <c r="C72" s="173">
        <f t="shared" si="68"/>
        <v>192</v>
      </c>
      <c r="D72" s="165"/>
      <c r="E72" s="114">
        <f t="shared" si="52"/>
        <v>0</v>
      </c>
      <c r="F72" s="174">
        <f t="shared" ref="F72:G72" si="92">F71+E72</f>
        <v>194</v>
      </c>
      <c r="G72" s="175">
        <f t="shared" si="92"/>
        <v>7898</v>
      </c>
      <c r="H72" s="165"/>
      <c r="I72" s="115">
        <f t="shared" si="54"/>
        <v>1.55</v>
      </c>
      <c r="J72" s="176">
        <f t="shared" si="55"/>
        <v>71501699.974999994</v>
      </c>
      <c r="K72" s="177">
        <f t="shared" si="19"/>
        <v>201504791.00999999</v>
      </c>
      <c r="L72" s="165"/>
      <c r="M72" s="178">
        <f t="shared" si="56"/>
        <v>386889198739.20001</v>
      </c>
      <c r="N72" s="228">
        <f t="shared" si="16"/>
        <v>12896306.624640001</v>
      </c>
      <c r="O72" s="178">
        <f t="shared" si="57"/>
        <v>2015047910.0999999</v>
      </c>
      <c r="P72" s="179">
        <f t="shared" si="70"/>
        <v>710762115902</v>
      </c>
      <c r="Q72" s="180">
        <f t="shared" si="58"/>
        <v>23692070.530066665</v>
      </c>
      <c r="R72" s="166">
        <f t="shared" si="20"/>
        <v>353</v>
      </c>
      <c r="S72" s="181">
        <f t="shared" si="21"/>
        <v>0.04</v>
      </c>
      <c r="T72" s="182">
        <f t="shared" si="22"/>
        <v>545</v>
      </c>
      <c r="U72" s="183">
        <f t="shared" si="23"/>
        <v>7.0000000000000007E-2</v>
      </c>
      <c r="V72" s="165"/>
      <c r="W72" s="184">
        <f t="shared" si="59"/>
        <v>43363831025.349998</v>
      </c>
      <c r="X72" s="185">
        <f t="shared" si="60"/>
        <v>754125946927.34998</v>
      </c>
      <c r="Y72" s="186">
        <f t="shared" si="61"/>
        <v>0.06</v>
      </c>
      <c r="Z72" s="186">
        <f t="shared" si="62"/>
        <v>1445461.03</v>
      </c>
      <c r="AA72" s="165"/>
      <c r="AB72" s="187">
        <f t="shared" si="63"/>
        <v>-754125916927.34998</v>
      </c>
      <c r="AC72" s="186">
        <f t="shared" si="64"/>
        <v>25137531.559999999</v>
      </c>
      <c r="AD72" s="188">
        <f t="shared" si="65"/>
        <v>0</v>
      </c>
      <c r="AE72" s="188">
        <f t="shared" si="66"/>
        <v>0</v>
      </c>
      <c r="AF72" s="189">
        <v>56</v>
      </c>
    </row>
    <row r="73" spans="1:32" s="10" customFormat="1" ht="15" customHeight="1" x14ac:dyDescent="0.2">
      <c r="A73" s="172">
        <v>57</v>
      </c>
      <c r="B73" s="114">
        <f t="shared" si="67"/>
        <v>3</v>
      </c>
      <c r="C73" s="173">
        <f t="shared" si="68"/>
        <v>195</v>
      </c>
      <c r="D73" s="165"/>
      <c r="E73" s="114">
        <f t="shared" si="52"/>
        <v>0</v>
      </c>
      <c r="F73" s="174">
        <f t="shared" ref="F73:G73" si="93">F72+E73</f>
        <v>194</v>
      </c>
      <c r="G73" s="175">
        <f t="shared" si="93"/>
        <v>8092</v>
      </c>
      <c r="H73" s="165"/>
      <c r="I73" s="115">
        <f t="shared" si="54"/>
        <v>1.55</v>
      </c>
      <c r="J73" s="176">
        <f t="shared" si="55"/>
        <v>110827634.961</v>
      </c>
      <c r="K73" s="177">
        <f t="shared" si="19"/>
        <v>312332425.96999997</v>
      </c>
      <c r="L73" s="165"/>
      <c r="M73" s="178">
        <f t="shared" si="56"/>
        <v>609048230641.5</v>
      </c>
      <c r="N73" s="228">
        <f t="shared" si="16"/>
        <v>20301607.688050002</v>
      </c>
      <c r="O73" s="178">
        <f t="shared" si="57"/>
        <v>3123324259.6999998</v>
      </c>
      <c r="P73" s="179">
        <f t="shared" si="70"/>
        <v>1101681410461.3999</v>
      </c>
      <c r="Q73" s="180">
        <f t="shared" si="58"/>
        <v>36722713.682046667</v>
      </c>
      <c r="R73" s="166">
        <f t="shared" si="20"/>
        <v>353</v>
      </c>
      <c r="S73" s="181">
        <f t="shared" si="21"/>
        <v>0.04</v>
      </c>
      <c r="T73" s="182">
        <f t="shared" si="22"/>
        <v>548</v>
      </c>
      <c r="U73" s="183">
        <f t="shared" si="23"/>
        <v>7.0000000000000007E-2</v>
      </c>
      <c r="V73" s="165"/>
      <c r="W73" s="184">
        <f t="shared" si="59"/>
        <v>67213938068.739998</v>
      </c>
      <c r="X73" s="185">
        <f t="shared" si="60"/>
        <v>1168895348530.1399</v>
      </c>
      <c r="Y73" s="186">
        <f t="shared" si="61"/>
        <v>0.06</v>
      </c>
      <c r="Z73" s="186">
        <f t="shared" si="62"/>
        <v>2240464.6</v>
      </c>
      <c r="AA73" s="165"/>
      <c r="AB73" s="187">
        <f t="shared" si="63"/>
        <v>-1168895318530.1399</v>
      </c>
      <c r="AC73" s="186">
        <f t="shared" si="64"/>
        <v>38963178.280000001</v>
      </c>
      <c r="AD73" s="188">
        <f t="shared" si="65"/>
        <v>0</v>
      </c>
      <c r="AE73" s="188">
        <f t="shared" si="66"/>
        <v>0</v>
      </c>
      <c r="AF73" s="189">
        <v>57</v>
      </c>
    </row>
    <row r="74" spans="1:32" s="10" customFormat="1" ht="15" customHeight="1" x14ac:dyDescent="0.2">
      <c r="A74" s="172">
        <v>58</v>
      </c>
      <c r="B74" s="114">
        <f t="shared" si="67"/>
        <v>3</v>
      </c>
      <c r="C74" s="173">
        <f t="shared" si="68"/>
        <v>198</v>
      </c>
      <c r="D74" s="165"/>
      <c r="E74" s="114">
        <f t="shared" si="52"/>
        <v>0</v>
      </c>
      <c r="F74" s="174">
        <f t="shared" ref="F74:G74" si="94">F73+E74</f>
        <v>194</v>
      </c>
      <c r="G74" s="175">
        <f t="shared" si="94"/>
        <v>8286</v>
      </c>
      <c r="H74" s="165"/>
      <c r="I74" s="115">
        <f t="shared" si="54"/>
        <v>1.55</v>
      </c>
      <c r="J74" s="176">
        <f t="shared" si="55"/>
        <v>171782834.19</v>
      </c>
      <c r="K74" s="177">
        <f t="shared" si="19"/>
        <v>484115260.15999997</v>
      </c>
      <c r="L74" s="165"/>
      <c r="M74" s="178">
        <f t="shared" si="56"/>
        <v>958548215116.80005</v>
      </c>
      <c r="N74" s="228">
        <f t="shared" si="16"/>
        <v>31951607.170560002</v>
      </c>
      <c r="O74" s="178">
        <f t="shared" si="57"/>
        <v>4841152601.6000004</v>
      </c>
      <c r="P74" s="179">
        <f t="shared" si="70"/>
        <v>1707606316843.2</v>
      </c>
      <c r="Q74" s="180">
        <f t="shared" si="58"/>
        <v>56920210.561439998</v>
      </c>
      <c r="R74" s="166">
        <f t="shared" si="20"/>
        <v>353</v>
      </c>
      <c r="S74" s="181">
        <f t="shared" si="21"/>
        <v>0.04</v>
      </c>
      <c r="T74" s="182">
        <f t="shared" si="22"/>
        <v>551</v>
      </c>
      <c r="U74" s="183">
        <f t="shared" si="23"/>
        <v>7.0000000000000007E-2</v>
      </c>
      <c r="V74" s="165"/>
      <c r="W74" s="184">
        <f t="shared" si="59"/>
        <v>104181603986.42999</v>
      </c>
      <c r="X74" s="185">
        <f t="shared" si="60"/>
        <v>1811787920829.6299</v>
      </c>
      <c r="Y74" s="186">
        <f t="shared" si="61"/>
        <v>0.06</v>
      </c>
      <c r="Z74" s="186">
        <f t="shared" si="62"/>
        <v>3472720.13</v>
      </c>
      <c r="AA74" s="165"/>
      <c r="AB74" s="187">
        <f t="shared" si="63"/>
        <v>-1811787890829.6299</v>
      </c>
      <c r="AC74" s="186">
        <f t="shared" si="64"/>
        <v>60392930.689999998</v>
      </c>
      <c r="AD74" s="188">
        <f t="shared" si="65"/>
        <v>0</v>
      </c>
      <c r="AE74" s="188">
        <f t="shared" si="66"/>
        <v>0</v>
      </c>
      <c r="AF74" s="189">
        <v>58</v>
      </c>
    </row>
    <row r="75" spans="1:32" s="10" customFormat="1" ht="15" customHeight="1" x14ac:dyDescent="0.2">
      <c r="A75" s="172">
        <v>59</v>
      </c>
      <c r="B75" s="114">
        <f t="shared" si="67"/>
        <v>3</v>
      </c>
      <c r="C75" s="173">
        <f t="shared" si="68"/>
        <v>201</v>
      </c>
      <c r="D75" s="165"/>
      <c r="E75" s="114">
        <f t="shared" si="52"/>
        <v>0</v>
      </c>
      <c r="F75" s="174">
        <f t="shared" ref="F75:G75" si="95">F74+E75</f>
        <v>194</v>
      </c>
      <c r="G75" s="175">
        <f t="shared" si="95"/>
        <v>8480</v>
      </c>
      <c r="H75" s="165"/>
      <c r="I75" s="115">
        <f t="shared" si="54"/>
        <v>1.55</v>
      </c>
      <c r="J75" s="176">
        <f t="shared" si="55"/>
        <v>266263392.995</v>
      </c>
      <c r="K75" s="177">
        <f t="shared" si="19"/>
        <v>750378653.15999997</v>
      </c>
      <c r="L75" s="165"/>
      <c r="M75" s="178">
        <f t="shared" si="56"/>
        <v>1508261092851.6001</v>
      </c>
      <c r="N75" s="228">
        <f t="shared" si="16"/>
        <v>50275369.761720002</v>
      </c>
      <c r="O75" s="178">
        <f t="shared" si="57"/>
        <v>7503786531.6000004</v>
      </c>
      <c r="P75" s="179">
        <f t="shared" si="70"/>
        <v>2646789921553.6001</v>
      </c>
      <c r="Q75" s="180">
        <f t="shared" si="58"/>
        <v>88226330.718453333</v>
      </c>
      <c r="R75" s="166">
        <f t="shared" si="20"/>
        <v>353</v>
      </c>
      <c r="S75" s="181">
        <f t="shared" si="21"/>
        <v>0.04</v>
      </c>
      <c r="T75" s="182">
        <f t="shared" si="22"/>
        <v>554</v>
      </c>
      <c r="U75" s="183">
        <f t="shared" si="23"/>
        <v>7.0000000000000007E-2</v>
      </c>
      <c r="V75" s="165"/>
      <c r="W75" s="184">
        <f t="shared" si="59"/>
        <v>161481486160.03</v>
      </c>
      <c r="X75" s="185">
        <f t="shared" si="60"/>
        <v>2808271407713.6299</v>
      </c>
      <c r="Y75" s="186">
        <f t="shared" si="61"/>
        <v>0.06</v>
      </c>
      <c r="Z75" s="186">
        <f t="shared" si="62"/>
        <v>5382716.21</v>
      </c>
      <c r="AA75" s="165"/>
      <c r="AB75" s="187">
        <f t="shared" si="63"/>
        <v>-2808271377713.6299</v>
      </c>
      <c r="AC75" s="186">
        <f t="shared" si="64"/>
        <v>93609046.920000002</v>
      </c>
      <c r="AD75" s="188">
        <f t="shared" si="65"/>
        <v>0</v>
      </c>
      <c r="AE75" s="188">
        <f t="shared" si="66"/>
        <v>0</v>
      </c>
      <c r="AF75" s="189">
        <v>59</v>
      </c>
    </row>
    <row r="76" spans="1:32" s="10" customFormat="1" ht="15" customHeight="1" x14ac:dyDescent="0.2">
      <c r="A76" s="172">
        <v>60</v>
      </c>
      <c r="B76" s="116">
        <f t="shared" si="67"/>
        <v>3</v>
      </c>
      <c r="C76" s="190">
        <f t="shared" si="68"/>
        <v>204</v>
      </c>
      <c r="D76" s="191"/>
      <c r="E76" s="116">
        <f t="shared" si="52"/>
        <v>0</v>
      </c>
      <c r="F76" s="190">
        <f t="shared" ref="F76:G76" si="96">F75+E76</f>
        <v>194</v>
      </c>
      <c r="G76" s="190">
        <f t="shared" si="96"/>
        <v>8674</v>
      </c>
      <c r="H76" s="191"/>
      <c r="I76" s="117">
        <f t="shared" si="54"/>
        <v>1.55</v>
      </c>
      <c r="J76" s="192">
        <f t="shared" si="55"/>
        <v>412708259.14200002</v>
      </c>
      <c r="K76" s="192">
        <f t="shared" si="19"/>
        <v>1163086912.3</v>
      </c>
      <c r="L76" s="193"/>
      <c r="M76" s="194">
        <f t="shared" si="56"/>
        <v>2372697301092</v>
      </c>
      <c r="N76" s="229">
        <f t="shared" si="16"/>
        <v>79089910.036400005</v>
      </c>
      <c r="O76" s="194">
        <f t="shared" si="57"/>
        <v>11630869123</v>
      </c>
      <c r="P76" s="195">
        <f t="shared" si="70"/>
        <v>4102524508684</v>
      </c>
      <c r="Q76" s="196">
        <f t="shared" si="58"/>
        <v>136750816.95613334</v>
      </c>
      <c r="R76" s="197">
        <f t="shared" si="20"/>
        <v>353</v>
      </c>
      <c r="S76" s="198">
        <f t="shared" si="21"/>
        <v>0.04</v>
      </c>
      <c r="T76" s="199">
        <f t="shared" si="22"/>
        <v>557</v>
      </c>
      <c r="U76" s="198">
        <f t="shared" si="23"/>
        <v>0.06</v>
      </c>
      <c r="V76" s="200"/>
      <c r="W76" s="201">
        <f t="shared" si="59"/>
        <v>250296303526.95999</v>
      </c>
      <c r="X76" s="202">
        <f t="shared" si="60"/>
        <v>4352820812210.96</v>
      </c>
      <c r="Y76" s="203">
        <f t="shared" si="61"/>
        <v>0.06</v>
      </c>
      <c r="Z76" s="203">
        <f t="shared" si="62"/>
        <v>8343210.1200000001</v>
      </c>
      <c r="AA76" s="204"/>
      <c r="AB76" s="205">
        <f t="shared" si="63"/>
        <v>-4352820782210.96</v>
      </c>
      <c r="AC76" s="203">
        <f t="shared" si="64"/>
        <v>145094027.06999999</v>
      </c>
      <c r="AD76" s="206">
        <f t="shared" si="65"/>
        <v>0</v>
      </c>
      <c r="AE76" s="206">
        <f t="shared" si="66"/>
        <v>0</v>
      </c>
      <c r="AF76" s="189">
        <v>60</v>
      </c>
    </row>
    <row r="77" spans="1:32" s="10" customFormat="1" ht="15" customHeight="1" x14ac:dyDescent="0.2">
      <c r="A77" s="172">
        <v>61</v>
      </c>
      <c r="B77" s="114">
        <f t="shared" si="67"/>
        <v>3</v>
      </c>
      <c r="C77" s="173">
        <f t="shared" si="68"/>
        <v>207</v>
      </c>
      <c r="D77" s="165"/>
      <c r="E77" s="114">
        <f t="shared" si="52"/>
        <v>0</v>
      </c>
      <c r="F77" s="174">
        <f t="shared" ref="F77:G77" si="97">F76+E77</f>
        <v>194</v>
      </c>
      <c r="G77" s="175">
        <f t="shared" si="97"/>
        <v>8868</v>
      </c>
      <c r="H77" s="165"/>
      <c r="I77" s="115">
        <f t="shared" si="54"/>
        <v>1.55</v>
      </c>
      <c r="J77" s="176">
        <f t="shared" si="55"/>
        <v>639697801.66999996</v>
      </c>
      <c r="K77" s="177">
        <f t="shared" si="19"/>
        <v>1802784713.9699998</v>
      </c>
      <c r="L77" s="165"/>
      <c r="M77" s="178">
        <f t="shared" si="56"/>
        <v>3731764357917.8999</v>
      </c>
      <c r="N77" s="228">
        <f t="shared" si="16"/>
        <v>124392145.26392999</v>
      </c>
      <c r="O77" s="178">
        <f t="shared" si="57"/>
        <v>18027847139.700001</v>
      </c>
      <c r="P77" s="179">
        <f t="shared" si="70"/>
        <v>6358913118546</v>
      </c>
      <c r="Q77" s="180">
        <f t="shared" si="58"/>
        <v>211963770.6182</v>
      </c>
      <c r="R77" s="166">
        <f t="shared" si="20"/>
        <v>353</v>
      </c>
      <c r="S77" s="181">
        <f t="shared" si="21"/>
        <v>0.04</v>
      </c>
      <c r="T77" s="182">
        <f t="shared" si="22"/>
        <v>560</v>
      </c>
      <c r="U77" s="183">
        <f t="shared" si="23"/>
        <v>0.06</v>
      </c>
      <c r="V77" s="165"/>
      <c r="W77" s="184">
        <f t="shared" si="59"/>
        <v>387959270446.34003</v>
      </c>
      <c r="X77" s="185">
        <f t="shared" si="60"/>
        <v>6746872388992.3398</v>
      </c>
      <c r="Y77" s="186">
        <f t="shared" si="61"/>
        <v>0.06</v>
      </c>
      <c r="Z77" s="186">
        <f t="shared" si="62"/>
        <v>12931975.68</v>
      </c>
      <c r="AA77" s="165"/>
      <c r="AB77" s="187">
        <f t="shared" si="63"/>
        <v>-6746872358992.3398</v>
      </c>
      <c r="AC77" s="186">
        <f t="shared" si="64"/>
        <v>224895746.30000001</v>
      </c>
      <c r="AD77" s="188">
        <f t="shared" si="65"/>
        <v>0</v>
      </c>
      <c r="AE77" s="188">
        <f t="shared" si="66"/>
        <v>0</v>
      </c>
      <c r="AF77" s="189">
        <v>61</v>
      </c>
    </row>
    <row r="78" spans="1:32" s="10" customFormat="1" ht="15" customHeight="1" x14ac:dyDescent="0.2">
      <c r="A78" s="172">
        <v>62</v>
      </c>
      <c r="B78" s="114">
        <f t="shared" si="67"/>
        <v>3</v>
      </c>
      <c r="C78" s="173">
        <f t="shared" si="68"/>
        <v>210</v>
      </c>
      <c r="D78" s="165"/>
      <c r="E78" s="114">
        <f t="shared" si="52"/>
        <v>0</v>
      </c>
      <c r="F78" s="174">
        <f t="shared" ref="F78:G78" si="98">F77+E78</f>
        <v>194</v>
      </c>
      <c r="G78" s="175">
        <f t="shared" si="98"/>
        <v>9062</v>
      </c>
      <c r="H78" s="165"/>
      <c r="I78" s="115">
        <f t="shared" si="54"/>
        <v>1.55</v>
      </c>
      <c r="J78" s="176">
        <f t="shared" si="55"/>
        <v>991531592.58899999</v>
      </c>
      <c r="K78" s="177">
        <f t="shared" si="19"/>
        <v>2794316306.5599999</v>
      </c>
      <c r="L78" s="165"/>
      <c r="M78" s="178">
        <f t="shared" si="56"/>
        <v>5868064243776</v>
      </c>
      <c r="N78" s="228">
        <f t="shared" si="16"/>
        <v>195602141.45919999</v>
      </c>
      <c r="O78" s="178">
        <f t="shared" si="57"/>
        <v>27943163065.599998</v>
      </c>
      <c r="P78" s="179">
        <f t="shared" si="70"/>
        <v>9856315463647.8008</v>
      </c>
      <c r="Q78" s="180">
        <f t="shared" si="58"/>
        <v>328543848.78826004</v>
      </c>
      <c r="R78" s="166">
        <f t="shared" si="20"/>
        <v>353</v>
      </c>
      <c r="S78" s="181">
        <f t="shared" si="21"/>
        <v>0.04</v>
      </c>
      <c r="T78" s="182">
        <f t="shared" si="22"/>
        <v>563</v>
      </c>
      <c r="U78" s="183">
        <f t="shared" si="23"/>
        <v>0.06</v>
      </c>
      <c r="V78" s="165"/>
      <c r="W78" s="184">
        <f t="shared" si="59"/>
        <v>601336869171.70996</v>
      </c>
      <c r="X78" s="185">
        <f t="shared" si="60"/>
        <v>10457652332819.5</v>
      </c>
      <c r="Y78" s="186">
        <f t="shared" si="61"/>
        <v>0.06</v>
      </c>
      <c r="Z78" s="186">
        <f t="shared" si="62"/>
        <v>20044562.309999999</v>
      </c>
      <c r="AA78" s="165"/>
      <c r="AB78" s="187">
        <f t="shared" si="63"/>
        <v>-10457652302819.5</v>
      </c>
      <c r="AC78" s="186">
        <f t="shared" si="64"/>
        <v>348588411.08999997</v>
      </c>
      <c r="AD78" s="188">
        <f t="shared" si="65"/>
        <v>0</v>
      </c>
      <c r="AE78" s="188">
        <f t="shared" si="66"/>
        <v>0</v>
      </c>
      <c r="AF78" s="189">
        <v>62</v>
      </c>
    </row>
    <row r="79" spans="1:32" s="10" customFormat="1" ht="15" customHeight="1" x14ac:dyDescent="0.2">
      <c r="A79" s="172">
        <v>63</v>
      </c>
      <c r="B79" s="114">
        <f t="shared" si="67"/>
        <v>3</v>
      </c>
      <c r="C79" s="173">
        <f t="shared" si="68"/>
        <v>213</v>
      </c>
      <c r="D79" s="165"/>
      <c r="E79" s="114">
        <f t="shared" si="52"/>
        <v>0</v>
      </c>
      <c r="F79" s="174">
        <f t="shared" ref="F79:G79" si="99">F78+E79</f>
        <v>194</v>
      </c>
      <c r="G79" s="175">
        <f t="shared" si="99"/>
        <v>9256</v>
      </c>
      <c r="H79" s="165"/>
      <c r="I79" s="115">
        <f t="shared" si="54"/>
        <v>1.55</v>
      </c>
      <c r="J79" s="176">
        <f t="shared" si="55"/>
        <v>1536873968.513</v>
      </c>
      <c r="K79" s="177">
        <f t="shared" si="19"/>
        <v>4331190275.0699997</v>
      </c>
      <c r="L79" s="165"/>
      <c r="M79" s="178">
        <f t="shared" si="56"/>
        <v>9225435285899.0996</v>
      </c>
      <c r="N79" s="228">
        <f t="shared" si="16"/>
        <v>307514509.52996999</v>
      </c>
      <c r="O79" s="178">
        <f t="shared" si="57"/>
        <v>43311902750.699997</v>
      </c>
      <c r="P79" s="179">
        <f t="shared" si="70"/>
        <v>15277289098374.199</v>
      </c>
      <c r="Q79" s="180">
        <f t="shared" si="58"/>
        <v>509242969.94580662</v>
      </c>
      <c r="R79" s="166">
        <f t="shared" si="20"/>
        <v>353</v>
      </c>
      <c r="S79" s="181">
        <f t="shared" si="21"/>
        <v>0.04</v>
      </c>
      <c r="T79" s="182">
        <f t="shared" si="22"/>
        <v>566</v>
      </c>
      <c r="U79" s="183">
        <f t="shared" si="23"/>
        <v>0.06</v>
      </c>
      <c r="V79" s="165"/>
      <c r="W79" s="184">
        <f t="shared" si="59"/>
        <v>932072147195.06006</v>
      </c>
      <c r="X79" s="185">
        <f t="shared" si="60"/>
        <v>16209361245569.301</v>
      </c>
      <c r="Y79" s="186">
        <f t="shared" si="61"/>
        <v>0.06</v>
      </c>
      <c r="Z79" s="186">
        <f t="shared" si="62"/>
        <v>31069071.57</v>
      </c>
      <c r="AA79" s="165"/>
      <c r="AB79" s="187">
        <f t="shared" si="63"/>
        <v>-16209361215569.301</v>
      </c>
      <c r="AC79" s="186">
        <f t="shared" si="64"/>
        <v>540312041.51999998</v>
      </c>
      <c r="AD79" s="188">
        <f t="shared" si="65"/>
        <v>0</v>
      </c>
      <c r="AE79" s="188">
        <f t="shared" si="66"/>
        <v>0</v>
      </c>
      <c r="AF79" s="189">
        <v>63</v>
      </c>
    </row>
    <row r="80" spans="1:32" s="10" customFormat="1" ht="15" customHeight="1" x14ac:dyDescent="0.2">
      <c r="A80" s="172">
        <v>64</v>
      </c>
      <c r="B80" s="114">
        <f t="shared" si="67"/>
        <v>3</v>
      </c>
      <c r="C80" s="173">
        <f t="shared" si="68"/>
        <v>216</v>
      </c>
      <c r="D80" s="165"/>
      <c r="E80" s="114">
        <f t="shared" si="52"/>
        <v>0</v>
      </c>
      <c r="F80" s="174">
        <f t="shared" ref="F80:G80" si="100">F79+E80</f>
        <v>194</v>
      </c>
      <c r="G80" s="175">
        <f t="shared" si="100"/>
        <v>9450</v>
      </c>
      <c r="H80" s="165"/>
      <c r="I80" s="115">
        <f t="shared" si="54"/>
        <v>1.55</v>
      </c>
      <c r="J80" s="176">
        <f t="shared" si="55"/>
        <v>2382154651.1950002</v>
      </c>
      <c r="K80" s="177">
        <f t="shared" si="19"/>
        <v>6713344926.2699995</v>
      </c>
      <c r="L80" s="165"/>
      <c r="M80" s="178">
        <f t="shared" si="56"/>
        <v>14500825040743.199</v>
      </c>
      <c r="N80" s="228">
        <f t="shared" si="16"/>
        <v>483360834.69143999</v>
      </c>
      <c r="O80" s="178">
        <f t="shared" si="57"/>
        <v>67133449262.699997</v>
      </c>
      <c r="P80" s="179">
        <f t="shared" si="70"/>
        <v>23679798232010</v>
      </c>
      <c r="Q80" s="180">
        <f t="shared" si="58"/>
        <v>789326607.73366666</v>
      </c>
      <c r="R80" s="166">
        <f t="shared" si="20"/>
        <v>353</v>
      </c>
      <c r="S80" s="181">
        <f t="shared" si="21"/>
        <v>0.04</v>
      </c>
      <c r="T80" s="182">
        <f t="shared" si="22"/>
        <v>569</v>
      </c>
      <c r="U80" s="183">
        <f t="shared" si="23"/>
        <v>0.06</v>
      </c>
      <c r="V80" s="165"/>
      <c r="W80" s="184">
        <f t="shared" si="59"/>
        <v>1444711828133.3</v>
      </c>
      <c r="X80" s="185">
        <f t="shared" si="60"/>
        <v>25124510060143.301</v>
      </c>
      <c r="Y80" s="186">
        <f t="shared" si="61"/>
        <v>0.06</v>
      </c>
      <c r="Z80" s="186">
        <f t="shared" si="62"/>
        <v>48157060.939999998</v>
      </c>
      <c r="AA80" s="165"/>
      <c r="AB80" s="187">
        <f t="shared" si="63"/>
        <v>-25124510030143.301</v>
      </c>
      <c r="AC80" s="186">
        <f t="shared" si="64"/>
        <v>837483668.66999996</v>
      </c>
      <c r="AD80" s="188">
        <f t="shared" si="65"/>
        <v>0</v>
      </c>
      <c r="AE80" s="188">
        <f t="shared" si="66"/>
        <v>0</v>
      </c>
      <c r="AF80" s="189">
        <v>64</v>
      </c>
    </row>
    <row r="81" spans="1:32" s="10" customFormat="1" ht="15" customHeight="1" x14ac:dyDescent="0.2">
      <c r="A81" s="172">
        <v>65</v>
      </c>
      <c r="B81" s="116">
        <f t="shared" si="67"/>
        <v>3</v>
      </c>
      <c r="C81" s="190">
        <f t="shared" si="68"/>
        <v>219</v>
      </c>
      <c r="D81" s="191"/>
      <c r="E81" s="116">
        <f t="shared" ref="E81:E116" si="101">IF(OR($A81&lt;2,AND(G$13&gt;0,$A81&gt;G$13)),0,IF(AND($A81&gt;=G$10,G$10&gt;0),G$11,IF(AND($A81&gt;=G$7,G$7&gt;0),G$8,0)))</f>
        <v>0</v>
      </c>
      <c r="F81" s="190">
        <f t="shared" ref="F81:G81" si="102">F80+E81</f>
        <v>194</v>
      </c>
      <c r="G81" s="190">
        <f t="shared" si="102"/>
        <v>9644</v>
      </c>
      <c r="H81" s="191"/>
      <c r="I81" s="117">
        <f t="shared" ref="I81:I116" si="103">IF(($A81&lt;K$5),1,IF(AND($A81&gt;K$13,K$13&gt;0),I80,IF(AND($A81&gt;=K$10,K$10&gt;0),ROUND(I80+K$11,4),IF(AND($A81&gt;=K$7,K$7&gt;0),ROUND(I80+K$8,4),K$4))))</f>
        <v>1.55</v>
      </c>
      <c r="J81" s="192">
        <f t="shared" ref="J81:J112" si="104">IF($A81&lt;K$5, K$3, IF(K$2=0,IF(K$14&gt;0,IF(K$3*K$14&lt;ROUND(J80*I81, 3),K$3*K$14,ROUND(J80*I81, 3)),ROUND(J80*I81, 3)),IF(K$14&gt;0,IF(K$3*K$14&lt;ROUND(K$3*I81, 3),K$3*K$14,ROUND(K$3*I81, 3)),ROUND(K$3*I81, 3))))</f>
        <v>3692339709.3520002</v>
      </c>
      <c r="K81" s="192">
        <f t="shared" si="19"/>
        <v>10405684635.619999</v>
      </c>
      <c r="L81" s="193"/>
      <c r="M81" s="194">
        <f t="shared" ref="M81:M116" si="105">ROUND(C81*O81-K81*$P$6,2)</f>
        <v>22788449352007.801</v>
      </c>
      <c r="N81" s="229">
        <f t="shared" si="16"/>
        <v>759614978.40025997</v>
      </c>
      <c r="O81" s="194">
        <f t="shared" ref="O81:O116" si="106">ROUND(ROUND(K81,2)*$P$4,2)</f>
        <v>104056846356.2</v>
      </c>
      <c r="P81" s="195">
        <f t="shared" si="70"/>
        <v>36703687388973.797</v>
      </c>
      <c r="Q81" s="196">
        <f t="shared" ref="Q81:Q112" si="107">P81/$P$10</f>
        <v>1223456246.2991266</v>
      </c>
      <c r="R81" s="197">
        <f t="shared" si="20"/>
        <v>353</v>
      </c>
      <c r="S81" s="198">
        <f t="shared" si="21"/>
        <v>0.04</v>
      </c>
      <c r="T81" s="199">
        <f t="shared" si="22"/>
        <v>572</v>
      </c>
      <c r="U81" s="198">
        <f t="shared" si="23"/>
        <v>0.06</v>
      </c>
      <c r="V81" s="200"/>
      <c r="W81" s="201">
        <f t="shared" ref="W81:W116" si="108">ROUND(K81*$P$8,2)</f>
        <v>2239303333585.4199</v>
      </c>
      <c r="X81" s="202">
        <f t="shared" ref="X81:X112" si="109">ROUND(P81+W81,2)</f>
        <v>38942990722559.203</v>
      </c>
      <c r="Y81" s="203">
        <f t="shared" ref="Y81:Y116" si="110">IF(P81&gt;0,ROUND(W81/P81,2),0)</f>
        <v>0.06</v>
      </c>
      <c r="Z81" s="203">
        <f t="shared" ref="Z81:Z116" si="111">IF($P$10&gt;0,ROUND(W81/$P$10,2),0)</f>
        <v>74643444.450000003</v>
      </c>
      <c r="AA81" s="204"/>
      <c r="AB81" s="205">
        <f t="shared" ref="AB81:AB116" si="112">IF($P$10&gt;0,ROUND($P$10-X81,2),0)</f>
        <v>-38942990692559.203</v>
      </c>
      <c r="AC81" s="203">
        <f t="shared" ref="AC81:AC116" si="113">IF($P$10&gt;0,ROUND(X81/$P$10,2),0)</f>
        <v>1298099690.75</v>
      </c>
      <c r="AD81" s="206">
        <f t="shared" ref="AD81:AD116" si="114">IF(AND(AB81&gt;0,$P$4&gt;0),($P$10-P81-W81*$P$9)/O81,0)</f>
        <v>0</v>
      </c>
      <c r="AE81" s="206">
        <f t="shared" ref="AE81:AE112" si="115">IF(AD81&gt;0,AD81+G81,0)</f>
        <v>0</v>
      </c>
      <c r="AF81" s="189">
        <v>65</v>
      </c>
    </row>
    <row r="82" spans="1:32" s="10" customFormat="1" ht="15" customHeight="1" x14ac:dyDescent="0.2">
      <c r="A82" s="172">
        <v>66</v>
      </c>
      <c r="B82" s="114">
        <f t="shared" ref="B82:B113" si="116">IF(AND($A82&gt;=C$13,C$13&gt;0),0,IF(AND($A82&gt;=C$10,C$10&gt;0),C$11,IF(AND($A82&gt;=C$7,C$7&gt;0),C$8,0)))</f>
        <v>3</v>
      </c>
      <c r="C82" s="173">
        <f t="shared" ref="C82:C113" si="117">IF(AND($A82&gt;=C$13,C$13&gt;0),C$14,C81+B82)</f>
        <v>222</v>
      </c>
      <c r="D82" s="165"/>
      <c r="E82" s="114">
        <f t="shared" si="101"/>
        <v>0</v>
      </c>
      <c r="F82" s="174">
        <f t="shared" ref="F82:G82" si="118">F81+E82</f>
        <v>194</v>
      </c>
      <c r="G82" s="175">
        <f t="shared" si="118"/>
        <v>9838</v>
      </c>
      <c r="H82" s="165"/>
      <c r="I82" s="115">
        <f t="shared" si="103"/>
        <v>1.55</v>
      </c>
      <c r="J82" s="176">
        <f t="shared" si="104"/>
        <v>5723126549.4960003</v>
      </c>
      <c r="K82" s="177">
        <f t="shared" si="19"/>
        <v>16128811185.119999</v>
      </c>
      <c r="L82" s="165"/>
      <c r="M82" s="178">
        <f t="shared" si="105"/>
        <v>35805960830966.398</v>
      </c>
      <c r="N82" s="228">
        <f t="shared" ref="N82:N116" si="119">IF($P$10&gt;0,M82/$P$10,0)</f>
        <v>1193532027.69888</v>
      </c>
      <c r="O82" s="178">
        <f t="shared" si="106"/>
        <v>161288111851.20001</v>
      </c>
      <c r="P82" s="179">
        <f t="shared" ref="P82:P116" si="120">ROUND((ROUND(K81,2)*(G82-G81)*$P$4+P81+J82*$P$6),2)</f>
        <v>56890715582076.602</v>
      </c>
      <c r="Q82" s="180">
        <f t="shared" si="107"/>
        <v>1896357186.0692201</v>
      </c>
      <c r="R82" s="166">
        <f t="shared" si="20"/>
        <v>353</v>
      </c>
      <c r="S82" s="181">
        <f t="shared" si="21"/>
        <v>0.04</v>
      </c>
      <c r="T82" s="182">
        <f t="shared" si="22"/>
        <v>575</v>
      </c>
      <c r="U82" s="183">
        <f t="shared" si="23"/>
        <v>0.06</v>
      </c>
      <c r="V82" s="165"/>
      <c r="W82" s="184">
        <f t="shared" si="108"/>
        <v>3470920167037.8198</v>
      </c>
      <c r="X82" s="185">
        <f t="shared" si="109"/>
        <v>60361635749114.398</v>
      </c>
      <c r="Y82" s="186">
        <f t="shared" si="110"/>
        <v>0.06</v>
      </c>
      <c r="Z82" s="186">
        <f t="shared" si="111"/>
        <v>115697338.90000001</v>
      </c>
      <c r="AA82" s="165"/>
      <c r="AB82" s="187">
        <f t="shared" si="112"/>
        <v>-60361635719114.398</v>
      </c>
      <c r="AC82" s="186">
        <f t="shared" si="113"/>
        <v>2012054524.97</v>
      </c>
      <c r="AD82" s="188">
        <f t="shared" si="114"/>
        <v>0</v>
      </c>
      <c r="AE82" s="188">
        <f t="shared" si="115"/>
        <v>0</v>
      </c>
      <c r="AF82" s="189">
        <v>66</v>
      </c>
    </row>
    <row r="83" spans="1:32" s="10" customFormat="1" ht="15" customHeight="1" x14ac:dyDescent="0.2">
      <c r="A83" s="172">
        <v>67</v>
      </c>
      <c r="B83" s="114">
        <f t="shared" si="116"/>
        <v>3</v>
      </c>
      <c r="C83" s="173">
        <f t="shared" si="117"/>
        <v>225</v>
      </c>
      <c r="D83" s="165"/>
      <c r="E83" s="114">
        <f t="shared" si="101"/>
        <v>0</v>
      </c>
      <c r="F83" s="174">
        <f t="shared" ref="F83:G83" si="121">F82+E83</f>
        <v>194</v>
      </c>
      <c r="G83" s="175">
        <f t="shared" si="121"/>
        <v>10032</v>
      </c>
      <c r="H83" s="165"/>
      <c r="I83" s="115">
        <f t="shared" si="103"/>
        <v>1.55</v>
      </c>
      <c r="J83" s="176">
        <f t="shared" si="104"/>
        <v>8870846151.7189999</v>
      </c>
      <c r="K83" s="177">
        <f t="shared" si="19"/>
        <v>24999657336.839996</v>
      </c>
      <c r="L83" s="165"/>
      <c r="M83" s="178">
        <f t="shared" si="105"/>
        <v>56249229007890</v>
      </c>
      <c r="N83" s="228">
        <f t="shared" si="119"/>
        <v>1874974300.263</v>
      </c>
      <c r="O83" s="178">
        <f t="shared" si="106"/>
        <v>249996573368.39999</v>
      </c>
      <c r="P83" s="179">
        <f t="shared" si="120"/>
        <v>88180609281209.406</v>
      </c>
      <c r="Q83" s="180">
        <f t="shared" si="107"/>
        <v>2939353642.7069802</v>
      </c>
      <c r="R83" s="166">
        <f t="shared" si="20"/>
        <v>353</v>
      </c>
      <c r="S83" s="181">
        <f t="shared" si="21"/>
        <v>0.04</v>
      </c>
      <c r="T83" s="182">
        <f t="shared" si="22"/>
        <v>578</v>
      </c>
      <c r="U83" s="183">
        <f t="shared" si="23"/>
        <v>0.06</v>
      </c>
      <c r="V83" s="165"/>
      <c r="W83" s="184">
        <f t="shared" si="108"/>
        <v>5379926258887.9697</v>
      </c>
      <c r="X83" s="185">
        <f t="shared" si="109"/>
        <v>93560535540097.406</v>
      </c>
      <c r="Y83" s="186">
        <f t="shared" si="110"/>
        <v>0.06</v>
      </c>
      <c r="Z83" s="186">
        <f t="shared" si="111"/>
        <v>179330875.30000001</v>
      </c>
      <c r="AA83" s="165"/>
      <c r="AB83" s="187">
        <f t="shared" si="112"/>
        <v>-93560535510097.406</v>
      </c>
      <c r="AC83" s="186">
        <f t="shared" si="113"/>
        <v>3118684518</v>
      </c>
      <c r="AD83" s="188">
        <f t="shared" si="114"/>
        <v>0</v>
      </c>
      <c r="AE83" s="188">
        <f t="shared" si="115"/>
        <v>0</v>
      </c>
      <c r="AF83" s="189">
        <v>67</v>
      </c>
    </row>
    <row r="84" spans="1:32" s="10" customFormat="1" ht="15" customHeight="1" x14ac:dyDescent="0.2">
      <c r="A84" s="172">
        <v>68</v>
      </c>
      <c r="B84" s="114">
        <f t="shared" si="116"/>
        <v>3</v>
      </c>
      <c r="C84" s="173">
        <f t="shared" si="117"/>
        <v>228</v>
      </c>
      <c r="D84" s="165"/>
      <c r="E84" s="114">
        <f t="shared" si="101"/>
        <v>0</v>
      </c>
      <c r="F84" s="174">
        <f t="shared" ref="F84:G84" si="122">F83+E84</f>
        <v>194</v>
      </c>
      <c r="G84" s="175">
        <f t="shared" si="122"/>
        <v>10226</v>
      </c>
      <c r="H84" s="165"/>
      <c r="I84" s="115">
        <f t="shared" si="103"/>
        <v>1.55</v>
      </c>
      <c r="J84" s="176">
        <f t="shared" si="104"/>
        <v>13749811535.164</v>
      </c>
      <c r="K84" s="177">
        <f t="shared" ref="K84:K116" si="123">K83+ROUND(J84,2)</f>
        <v>38749468872</v>
      </c>
      <c r="L84" s="165"/>
      <c r="M84" s="178">
        <f t="shared" si="105"/>
        <v>88348789028160</v>
      </c>
      <c r="N84" s="228">
        <f t="shared" si="119"/>
        <v>2944959634.2719998</v>
      </c>
      <c r="O84" s="178">
        <f t="shared" si="106"/>
        <v>387494688720</v>
      </c>
      <c r="P84" s="179">
        <f t="shared" si="120"/>
        <v>136679944514679</v>
      </c>
      <c r="Q84" s="180">
        <f t="shared" si="107"/>
        <v>4555998150.4892998</v>
      </c>
      <c r="R84" s="166">
        <f t="shared" ref="R84:R116" si="124">ROUND(P84/O84,0)</f>
        <v>353</v>
      </c>
      <c r="S84" s="181">
        <f t="shared" ref="S84:S116" si="125">ROUND(R84/G84,2)</f>
        <v>0.03</v>
      </c>
      <c r="T84" s="182">
        <f t="shared" ref="T84:T116" si="126">R84+C84</f>
        <v>581</v>
      </c>
      <c r="U84" s="183">
        <f t="shared" ref="U84:U116" si="127">ROUND(T84/G84,2)</f>
        <v>0.06</v>
      </c>
      <c r="V84" s="165"/>
      <c r="W84" s="184">
        <f t="shared" si="108"/>
        <v>8338885701254.4004</v>
      </c>
      <c r="X84" s="185">
        <f t="shared" si="109"/>
        <v>145018830215933</v>
      </c>
      <c r="Y84" s="186">
        <f t="shared" si="110"/>
        <v>0.06</v>
      </c>
      <c r="Z84" s="186">
        <f t="shared" si="111"/>
        <v>277962856.70999998</v>
      </c>
      <c r="AA84" s="165"/>
      <c r="AB84" s="187">
        <f t="shared" si="112"/>
        <v>-145018830185933</v>
      </c>
      <c r="AC84" s="186">
        <f t="shared" si="113"/>
        <v>4833961007.1999998</v>
      </c>
      <c r="AD84" s="188">
        <f t="shared" si="114"/>
        <v>0</v>
      </c>
      <c r="AE84" s="188">
        <f t="shared" si="115"/>
        <v>0</v>
      </c>
      <c r="AF84" s="189">
        <v>68</v>
      </c>
    </row>
    <row r="85" spans="1:32" s="10" customFormat="1" ht="15" customHeight="1" x14ac:dyDescent="0.2">
      <c r="A85" s="172">
        <v>69</v>
      </c>
      <c r="B85" s="114">
        <f t="shared" si="116"/>
        <v>3</v>
      </c>
      <c r="C85" s="173">
        <f t="shared" si="117"/>
        <v>231</v>
      </c>
      <c r="D85" s="165"/>
      <c r="E85" s="114">
        <f t="shared" si="101"/>
        <v>0</v>
      </c>
      <c r="F85" s="174">
        <f t="shared" ref="F85:G85" si="128">F84+E85</f>
        <v>194</v>
      </c>
      <c r="G85" s="175">
        <f t="shared" si="128"/>
        <v>10420</v>
      </c>
      <c r="H85" s="165"/>
      <c r="I85" s="115">
        <f t="shared" si="103"/>
        <v>1.55</v>
      </c>
      <c r="J85" s="176">
        <f t="shared" si="104"/>
        <v>21312207879.504002</v>
      </c>
      <c r="K85" s="177">
        <f t="shared" si="123"/>
        <v>60061676751.5</v>
      </c>
      <c r="L85" s="165"/>
      <c r="M85" s="178">
        <f t="shared" si="105"/>
        <v>138742473295965</v>
      </c>
      <c r="N85" s="228">
        <f t="shared" si="119"/>
        <v>4624749109.8655005</v>
      </c>
      <c r="O85" s="178">
        <f t="shared" si="106"/>
        <v>600616767515</v>
      </c>
      <c r="P85" s="179">
        <f t="shared" si="120"/>
        <v>211853914126359</v>
      </c>
      <c r="Q85" s="180">
        <f t="shared" si="107"/>
        <v>7061797137.5452995</v>
      </c>
      <c r="R85" s="166">
        <f t="shared" si="124"/>
        <v>353</v>
      </c>
      <c r="S85" s="181">
        <f t="shared" si="125"/>
        <v>0.03</v>
      </c>
      <c r="T85" s="182">
        <f t="shared" si="126"/>
        <v>584</v>
      </c>
      <c r="U85" s="183">
        <f t="shared" si="127"/>
        <v>0.06</v>
      </c>
      <c r="V85" s="165"/>
      <c r="W85" s="184">
        <f t="shared" si="108"/>
        <v>12925272836922.801</v>
      </c>
      <c r="X85" s="185">
        <f t="shared" si="109"/>
        <v>224779186963282</v>
      </c>
      <c r="Y85" s="186">
        <f t="shared" si="110"/>
        <v>0.06</v>
      </c>
      <c r="Z85" s="186">
        <f t="shared" si="111"/>
        <v>430842427.89999998</v>
      </c>
      <c r="AA85" s="165"/>
      <c r="AB85" s="187">
        <f t="shared" si="112"/>
        <v>-224779186933282</v>
      </c>
      <c r="AC85" s="186">
        <f t="shared" si="113"/>
        <v>7492639565.4399996</v>
      </c>
      <c r="AD85" s="188">
        <f t="shared" si="114"/>
        <v>0</v>
      </c>
      <c r="AE85" s="188">
        <f t="shared" si="115"/>
        <v>0</v>
      </c>
      <c r="AF85" s="189">
        <v>69</v>
      </c>
    </row>
    <row r="86" spans="1:32" s="10" customFormat="1" ht="15" customHeight="1" x14ac:dyDescent="0.2">
      <c r="A86" s="172">
        <v>70</v>
      </c>
      <c r="B86" s="116">
        <f t="shared" si="116"/>
        <v>3</v>
      </c>
      <c r="C86" s="190">
        <f t="shared" si="117"/>
        <v>234</v>
      </c>
      <c r="D86" s="191"/>
      <c r="E86" s="116">
        <f t="shared" si="101"/>
        <v>0</v>
      </c>
      <c r="F86" s="190">
        <f t="shared" ref="F86:G86" si="129">F85+E86</f>
        <v>194</v>
      </c>
      <c r="G86" s="190">
        <f t="shared" si="129"/>
        <v>10614</v>
      </c>
      <c r="H86" s="191"/>
      <c r="I86" s="117">
        <f t="shared" si="103"/>
        <v>1.55</v>
      </c>
      <c r="J86" s="192">
        <f t="shared" si="104"/>
        <v>33033922213.230999</v>
      </c>
      <c r="K86" s="192">
        <f t="shared" si="123"/>
        <v>93095598964.729996</v>
      </c>
      <c r="L86" s="193"/>
      <c r="M86" s="194">
        <f t="shared" si="105"/>
        <v>217843701577468</v>
      </c>
      <c r="N86" s="229">
        <f t="shared" si="119"/>
        <v>7261456719.2489338</v>
      </c>
      <c r="O86" s="194">
        <f t="shared" si="106"/>
        <v>930955989647.30005</v>
      </c>
      <c r="P86" s="195">
        <f t="shared" si="120"/>
        <v>328373567024269</v>
      </c>
      <c r="Q86" s="196">
        <f t="shared" si="107"/>
        <v>10945785567.475634</v>
      </c>
      <c r="R86" s="197">
        <f t="shared" si="124"/>
        <v>353</v>
      </c>
      <c r="S86" s="198">
        <f t="shared" si="125"/>
        <v>0.03</v>
      </c>
      <c r="T86" s="199">
        <f t="shared" si="126"/>
        <v>587</v>
      </c>
      <c r="U86" s="198">
        <f t="shared" si="127"/>
        <v>0.06</v>
      </c>
      <c r="V86" s="200"/>
      <c r="W86" s="201">
        <f t="shared" si="108"/>
        <v>20034172897209.898</v>
      </c>
      <c r="X86" s="202">
        <f t="shared" si="109"/>
        <v>348407739921479</v>
      </c>
      <c r="Y86" s="203">
        <f t="shared" si="110"/>
        <v>0.06</v>
      </c>
      <c r="Z86" s="203">
        <f t="shared" si="111"/>
        <v>667805763.24000001</v>
      </c>
      <c r="AA86" s="204"/>
      <c r="AB86" s="205">
        <f t="shared" si="112"/>
        <v>-348407739891479</v>
      </c>
      <c r="AC86" s="203">
        <f t="shared" si="113"/>
        <v>11613591330.719999</v>
      </c>
      <c r="AD86" s="206">
        <f t="shared" si="114"/>
        <v>0</v>
      </c>
      <c r="AE86" s="206">
        <f t="shared" si="115"/>
        <v>0</v>
      </c>
      <c r="AF86" s="189">
        <v>70</v>
      </c>
    </row>
    <row r="87" spans="1:32" s="10" customFormat="1" ht="15" customHeight="1" x14ac:dyDescent="0.2">
      <c r="A87" s="172">
        <v>71</v>
      </c>
      <c r="B87" s="114">
        <f t="shared" si="116"/>
        <v>3</v>
      </c>
      <c r="C87" s="173">
        <f t="shared" si="117"/>
        <v>237</v>
      </c>
      <c r="D87" s="165"/>
      <c r="E87" s="114">
        <f t="shared" si="101"/>
        <v>0</v>
      </c>
      <c r="F87" s="174">
        <f t="shared" ref="F87:G87" si="130">F86+E87</f>
        <v>194</v>
      </c>
      <c r="G87" s="175">
        <f t="shared" si="130"/>
        <v>10808</v>
      </c>
      <c r="H87" s="165"/>
      <c r="I87" s="115">
        <f t="shared" si="103"/>
        <v>1.55</v>
      </c>
      <c r="J87" s="176">
        <f t="shared" si="104"/>
        <v>51202579430.508003</v>
      </c>
      <c r="K87" s="177">
        <f t="shared" si="123"/>
        <v>144298178395.23999</v>
      </c>
      <c r="L87" s="165"/>
      <c r="M87" s="178">
        <f t="shared" si="105"/>
        <v>341986682796719</v>
      </c>
      <c r="N87" s="228">
        <f t="shared" si="119"/>
        <v>11399556093.223967</v>
      </c>
      <c r="O87" s="178">
        <f t="shared" si="106"/>
        <v>1442981783952.3999</v>
      </c>
      <c r="P87" s="179">
        <f t="shared" si="120"/>
        <v>508979029015845</v>
      </c>
      <c r="Q87" s="180">
        <f t="shared" si="107"/>
        <v>16965967633.8615</v>
      </c>
      <c r="R87" s="166">
        <f t="shared" si="124"/>
        <v>353</v>
      </c>
      <c r="S87" s="181">
        <f t="shared" si="125"/>
        <v>0.03</v>
      </c>
      <c r="T87" s="182">
        <f t="shared" si="126"/>
        <v>590</v>
      </c>
      <c r="U87" s="183">
        <f t="shared" si="127"/>
        <v>0.05</v>
      </c>
      <c r="V87" s="165"/>
      <c r="W87" s="184">
        <f t="shared" si="108"/>
        <v>31052967990655.602</v>
      </c>
      <c r="X87" s="185">
        <f t="shared" si="109"/>
        <v>540031997006501</v>
      </c>
      <c r="Y87" s="186">
        <f t="shared" si="110"/>
        <v>0.06</v>
      </c>
      <c r="Z87" s="186">
        <f t="shared" si="111"/>
        <v>1035098933.02</v>
      </c>
      <c r="AA87" s="165"/>
      <c r="AB87" s="187">
        <f t="shared" si="112"/>
        <v>-540031996976501</v>
      </c>
      <c r="AC87" s="186">
        <f t="shared" si="113"/>
        <v>18001066566.880001</v>
      </c>
      <c r="AD87" s="188">
        <f t="shared" si="114"/>
        <v>0</v>
      </c>
      <c r="AE87" s="188">
        <f t="shared" si="115"/>
        <v>0</v>
      </c>
      <c r="AF87" s="189">
        <v>71</v>
      </c>
    </row>
    <row r="88" spans="1:32" s="10" customFormat="1" ht="15" customHeight="1" x14ac:dyDescent="0.2">
      <c r="A88" s="172">
        <v>72</v>
      </c>
      <c r="B88" s="114">
        <f t="shared" si="116"/>
        <v>3</v>
      </c>
      <c r="C88" s="173">
        <f t="shared" si="117"/>
        <v>240</v>
      </c>
      <c r="D88" s="165"/>
      <c r="E88" s="114">
        <f t="shared" si="101"/>
        <v>0</v>
      </c>
      <c r="F88" s="174">
        <f t="shared" ref="F88:G88" si="131">F87+E88</f>
        <v>194</v>
      </c>
      <c r="G88" s="175">
        <f t="shared" si="131"/>
        <v>11002</v>
      </c>
      <c r="H88" s="165"/>
      <c r="I88" s="115">
        <f t="shared" si="103"/>
        <v>1.55</v>
      </c>
      <c r="J88" s="176">
        <f t="shared" si="104"/>
        <v>79363998117.287003</v>
      </c>
      <c r="K88" s="177">
        <f t="shared" si="123"/>
        <v>223662176512.52997</v>
      </c>
      <c r="L88" s="165"/>
      <c r="M88" s="178">
        <f t="shared" si="105"/>
        <v>536789223630072</v>
      </c>
      <c r="N88" s="228">
        <f t="shared" si="119"/>
        <v>17892974121.002399</v>
      </c>
      <c r="O88" s="178">
        <f t="shared" si="106"/>
        <v>2236621765125.2998</v>
      </c>
      <c r="P88" s="179">
        <f t="shared" si="120"/>
        <v>788917495102611</v>
      </c>
      <c r="Q88" s="180">
        <f t="shared" si="107"/>
        <v>26297249836.7537</v>
      </c>
      <c r="R88" s="166">
        <f t="shared" si="124"/>
        <v>353</v>
      </c>
      <c r="S88" s="181">
        <f t="shared" si="125"/>
        <v>0.03</v>
      </c>
      <c r="T88" s="182">
        <f t="shared" si="126"/>
        <v>593</v>
      </c>
      <c r="U88" s="183">
        <f t="shared" si="127"/>
        <v>0.05</v>
      </c>
      <c r="V88" s="165"/>
      <c r="W88" s="184">
        <f t="shared" si="108"/>
        <v>48132100385496.398</v>
      </c>
      <c r="X88" s="185">
        <f t="shared" si="109"/>
        <v>837049595488107</v>
      </c>
      <c r="Y88" s="186">
        <f t="shared" si="110"/>
        <v>0.06</v>
      </c>
      <c r="Z88" s="186">
        <f t="shared" si="111"/>
        <v>1604403346.1800001</v>
      </c>
      <c r="AA88" s="165"/>
      <c r="AB88" s="187">
        <f t="shared" si="112"/>
        <v>-837049595458107</v>
      </c>
      <c r="AC88" s="186">
        <f t="shared" si="113"/>
        <v>27901653182.939999</v>
      </c>
      <c r="AD88" s="188">
        <f t="shared" si="114"/>
        <v>0</v>
      </c>
      <c r="AE88" s="188">
        <f t="shared" si="115"/>
        <v>0</v>
      </c>
      <c r="AF88" s="189">
        <v>72</v>
      </c>
    </row>
    <row r="89" spans="1:32" s="10" customFormat="1" ht="15" customHeight="1" x14ac:dyDescent="0.2">
      <c r="A89" s="172">
        <v>73</v>
      </c>
      <c r="B89" s="114">
        <f t="shared" si="116"/>
        <v>3</v>
      </c>
      <c r="C89" s="173">
        <f t="shared" si="117"/>
        <v>243</v>
      </c>
      <c r="D89" s="165"/>
      <c r="E89" s="114">
        <f t="shared" si="101"/>
        <v>0</v>
      </c>
      <c r="F89" s="174">
        <f t="shared" ref="F89:G89" si="132">F88+E89</f>
        <v>194</v>
      </c>
      <c r="G89" s="175">
        <f t="shared" si="132"/>
        <v>11196</v>
      </c>
      <c r="H89" s="165"/>
      <c r="I89" s="115">
        <f t="shared" si="103"/>
        <v>1.55</v>
      </c>
      <c r="J89" s="176">
        <f t="shared" si="104"/>
        <v>123014197081.795</v>
      </c>
      <c r="K89" s="177">
        <f t="shared" si="123"/>
        <v>346676373594.32996</v>
      </c>
      <c r="L89" s="165"/>
      <c r="M89" s="178">
        <f t="shared" si="105"/>
        <v>842423587834222</v>
      </c>
      <c r="N89" s="228">
        <f t="shared" si="119"/>
        <v>28080786261.140732</v>
      </c>
      <c r="O89" s="178">
        <f t="shared" si="106"/>
        <v>3466763735943.2998</v>
      </c>
      <c r="P89" s="179">
        <f t="shared" si="120"/>
        <v>1222822117536920</v>
      </c>
      <c r="Q89" s="180">
        <f t="shared" si="107"/>
        <v>40760737251.230667</v>
      </c>
      <c r="R89" s="166">
        <f t="shared" si="124"/>
        <v>353</v>
      </c>
      <c r="S89" s="181">
        <f t="shared" si="125"/>
        <v>0.03</v>
      </c>
      <c r="T89" s="182">
        <f t="shared" si="126"/>
        <v>596</v>
      </c>
      <c r="U89" s="183">
        <f t="shared" si="127"/>
        <v>0.05</v>
      </c>
      <c r="V89" s="165"/>
      <c r="W89" s="184">
        <f t="shared" si="108"/>
        <v>74604755597499.797</v>
      </c>
      <c r="X89" s="185">
        <f t="shared" si="109"/>
        <v>1297426873134420</v>
      </c>
      <c r="Y89" s="186">
        <f t="shared" si="110"/>
        <v>0.06</v>
      </c>
      <c r="Z89" s="186">
        <f t="shared" si="111"/>
        <v>2486825186.5799999</v>
      </c>
      <c r="AA89" s="165"/>
      <c r="AB89" s="187">
        <f t="shared" si="112"/>
        <v>-1297426873104420</v>
      </c>
      <c r="AC89" s="186">
        <f t="shared" si="113"/>
        <v>43247562437.809998</v>
      </c>
      <c r="AD89" s="188">
        <f t="shared" si="114"/>
        <v>0</v>
      </c>
      <c r="AE89" s="188">
        <f t="shared" si="115"/>
        <v>0</v>
      </c>
      <c r="AF89" s="189">
        <v>73</v>
      </c>
    </row>
    <row r="90" spans="1:32" s="10" customFormat="1" ht="15" customHeight="1" x14ac:dyDescent="0.2">
      <c r="A90" s="172">
        <v>74</v>
      </c>
      <c r="B90" s="114">
        <f t="shared" si="116"/>
        <v>3</v>
      </c>
      <c r="C90" s="173">
        <f t="shared" si="117"/>
        <v>246</v>
      </c>
      <c r="D90" s="165"/>
      <c r="E90" s="114">
        <f t="shared" si="101"/>
        <v>0</v>
      </c>
      <c r="F90" s="174">
        <f t="shared" ref="F90:G90" si="133">F89+E90</f>
        <v>194</v>
      </c>
      <c r="G90" s="175">
        <f t="shared" si="133"/>
        <v>11390</v>
      </c>
      <c r="H90" s="165"/>
      <c r="I90" s="115">
        <f t="shared" si="103"/>
        <v>1.55</v>
      </c>
      <c r="J90" s="176">
        <f t="shared" si="104"/>
        <v>190672005476.78201</v>
      </c>
      <c r="K90" s="177">
        <f t="shared" si="123"/>
        <v>537348379071.10999</v>
      </c>
      <c r="L90" s="165"/>
      <c r="M90" s="178">
        <f t="shared" si="105"/>
        <v>1321877012514930</v>
      </c>
      <c r="N90" s="228">
        <f t="shared" si="119"/>
        <v>44062567083.831001</v>
      </c>
      <c r="O90" s="178">
        <f t="shared" si="106"/>
        <v>5373483790711.0996</v>
      </c>
      <c r="P90" s="179">
        <f t="shared" si="120"/>
        <v>1895374282309920</v>
      </c>
      <c r="Q90" s="180">
        <f t="shared" si="107"/>
        <v>63179142743.664001</v>
      </c>
      <c r="R90" s="166">
        <f t="shared" si="124"/>
        <v>353</v>
      </c>
      <c r="S90" s="181">
        <f t="shared" si="125"/>
        <v>0.03</v>
      </c>
      <c r="T90" s="182">
        <f t="shared" si="126"/>
        <v>599</v>
      </c>
      <c r="U90" s="183">
        <f t="shared" si="127"/>
        <v>0.05</v>
      </c>
      <c r="V90" s="165"/>
      <c r="W90" s="184">
        <f t="shared" si="108"/>
        <v>115637371176103</v>
      </c>
      <c r="X90" s="185">
        <f t="shared" si="109"/>
        <v>2011011653486020</v>
      </c>
      <c r="Y90" s="186">
        <f t="shared" si="110"/>
        <v>0.06</v>
      </c>
      <c r="Z90" s="186">
        <f t="shared" si="111"/>
        <v>3854579039.1999998</v>
      </c>
      <c r="AA90" s="165"/>
      <c r="AB90" s="187">
        <f t="shared" si="112"/>
        <v>-2011011653456020</v>
      </c>
      <c r="AC90" s="186">
        <f t="shared" si="113"/>
        <v>67033721782.870003</v>
      </c>
      <c r="AD90" s="188">
        <f t="shared" si="114"/>
        <v>0</v>
      </c>
      <c r="AE90" s="188">
        <f t="shared" si="115"/>
        <v>0</v>
      </c>
      <c r="AF90" s="189">
        <v>74</v>
      </c>
    </row>
    <row r="91" spans="1:32" s="10" customFormat="1" ht="15" customHeight="1" x14ac:dyDescent="0.2">
      <c r="A91" s="172">
        <v>75</v>
      </c>
      <c r="B91" s="116">
        <f t="shared" si="116"/>
        <v>3</v>
      </c>
      <c r="C91" s="190">
        <f t="shared" si="117"/>
        <v>249</v>
      </c>
      <c r="D91" s="191"/>
      <c r="E91" s="116">
        <f t="shared" si="101"/>
        <v>0</v>
      </c>
      <c r="F91" s="190">
        <f t="shared" ref="F91:G91" si="134">F90+E91</f>
        <v>194</v>
      </c>
      <c r="G91" s="190">
        <f t="shared" si="134"/>
        <v>11584</v>
      </c>
      <c r="H91" s="191"/>
      <c r="I91" s="117">
        <f t="shared" si="103"/>
        <v>1.55</v>
      </c>
      <c r="J91" s="192">
        <f t="shared" si="104"/>
        <v>295541608489.01202</v>
      </c>
      <c r="K91" s="192">
        <f t="shared" si="123"/>
        <v>832889987560.12</v>
      </c>
      <c r="L91" s="193"/>
      <c r="M91" s="194">
        <f t="shared" si="105"/>
        <v>2073896069024700</v>
      </c>
      <c r="N91" s="229">
        <f t="shared" si="119"/>
        <v>69129868967.490005</v>
      </c>
      <c r="O91" s="194">
        <f t="shared" si="106"/>
        <v>8328899875601.2002</v>
      </c>
      <c r="P91" s="195">
        <f t="shared" si="120"/>
        <v>2937830137707870</v>
      </c>
      <c r="Q91" s="196">
        <f t="shared" si="107"/>
        <v>97927671256.929001</v>
      </c>
      <c r="R91" s="197">
        <f t="shared" si="124"/>
        <v>353</v>
      </c>
      <c r="S91" s="198">
        <f t="shared" si="125"/>
        <v>0.03</v>
      </c>
      <c r="T91" s="199">
        <f t="shared" si="126"/>
        <v>602</v>
      </c>
      <c r="U91" s="198">
        <f t="shared" si="127"/>
        <v>0.05</v>
      </c>
      <c r="V91" s="200"/>
      <c r="W91" s="201">
        <f t="shared" si="108"/>
        <v>179237925322938</v>
      </c>
      <c r="X91" s="202">
        <f t="shared" si="109"/>
        <v>3117068063030810</v>
      </c>
      <c r="Y91" s="203">
        <f t="shared" si="110"/>
        <v>0.06</v>
      </c>
      <c r="Z91" s="203">
        <f t="shared" si="111"/>
        <v>5974597510.7600002</v>
      </c>
      <c r="AA91" s="204"/>
      <c r="AB91" s="205">
        <f t="shared" si="112"/>
        <v>-3117068063000810</v>
      </c>
      <c r="AC91" s="203">
        <f t="shared" si="113"/>
        <v>103902268767.69</v>
      </c>
      <c r="AD91" s="206">
        <f t="shared" si="114"/>
        <v>0</v>
      </c>
      <c r="AE91" s="206">
        <f t="shared" si="115"/>
        <v>0</v>
      </c>
      <c r="AF91" s="189">
        <v>75</v>
      </c>
    </row>
    <row r="92" spans="1:32" s="10" customFormat="1" ht="15" customHeight="1" x14ac:dyDescent="0.2">
      <c r="A92" s="172">
        <v>76</v>
      </c>
      <c r="B92" s="114">
        <f t="shared" si="116"/>
        <v>3</v>
      </c>
      <c r="C92" s="173">
        <f t="shared" si="117"/>
        <v>252</v>
      </c>
      <c r="D92" s="165"/>
      <c r="E92" s="114">
        <f t="shared" si="101"/>
        <v>0</v>
      </c>
      <c r="F92" s="174">
        <f t="shared" ref="F92:G92" si="135">F91+E92</f>
        <v>194</v>
      </c>
      <c r="G92" s="175">
        <f t="shared" si="135"/>
        <v>11778</v>
      </c>
      <c r="H92" s="165"/>
      <c r="I92" s="115">
        <f t="shared" si="103"/>
        <v>1.55</v>
      </c>
      <c r="J92" s="176">
        <f t="shared" si="104"/>
        <v>458089493157.96899</v>
      </c>
      <c r="K92" s="177">
        <f t="shared" si="123"/>
        <v>1290979480718.0898</v>
      </c>
      <c r="L92" s="165"/>
      <c r="M92" s="178">
        <f t="shared" si="105"/>
        <v>3253268291409590</v>
      </c>
      <c r="N92" s="228">
        <f t="shared" si="119"/>
        <v>108442276380.31967</v>
      </c>
      <c r="O92" s="178">
        <f t="shared" si="106"/>
        <v>12909794807180.9</v>
      </c>
      <c r="P92" s="179">
        <f t="shared" si="120"/>
        <v>4553636713574500</v>
      </c>
      <c r="Q92" s="180">
        <f t="shared" si="107"/>
        <v>151787890452.48334</v>
      </c>
      <c r="R92" s="166">
        <f t="shared" si="124"/>
        <v>353</v>
      </c>
      <c r="S92" s="181">
        <f t="shared" si="125"/>
        <v>0.03</v>
      </c>
      <c r="T92" s="182">
        <f t="shared" si="126"/>
        <v>605</v>
      </c>
      <c r="U92" s="183">
        <f t="shared" si="127"/>
        <v>0.05</v>
      </c>
      <c r="V92" s="165"/>
      <c r="W92" s="184">
        <f t="shared" si="108"/>
        <v>277818784250533</v>
      </c>
      <c r="X92" s="185">
        <f t="shared" si="109"/>
        <v>4831455497825030</v>
      </c>
      <c r="Y92" s="186">
        <f t="shared" si="110"/>
        <v>0.06</v>
      </c>
      <c r="Z92" s="186">
        <f t="shared" si="111"/>
        <v>9260626141.6800003</v>
      </c>
      <c r="AA92" s="165"/>
      <c r="AB92" s="187">
        <f t="shared" si="112"/>
        <v>-4831455497795030</v>
      </c>
      <c r="AC92" s="186">
        <f t="shared" si="113"/>
        <v>161048516594.17001</v>
      </c>
      <c r="AD92" s="188">
        <f t="shared" si="114"/>
        <v>0</v>
      </c>
      <c r="AE92" s="188">
        <f t="shared" si="115"/>
        <v>0</v>
      </c>
      <c r="AF92" s="189">
        <v>76</v>
      </c>
    </row>
    <row r="93" spans="1:32" s="10" customFormat="1" ht="15" customHeight="1" x14ac:dyDescent="0.2">
      <c r="A93" s="172">
        <v>77</v>
      </c>
      <c r="B93" s="114">
        <f t="shared" si="116"/>
        <v>3</v>
      </c>
      <c r="C93" s="173">
        <f t="shared" si="117"/>
        <v>255</v>
      </c>
      <c r="D93" s="165"/>
      <c r="E93" s="114">
        <f t="shared" si="101"/>
        <v>0</v>
      </c>
      <c r="F93" s="174">
        <f t="shared" ref="F93:G93" si="136">F92+E93</f>
        <v>194</v>
      </c>
      <c r="G93" s="175">
        <f t="shared" si="136"/>
        <v>11972</v>
      </c>
      <c r="H93" s="165"/>
      <c r="I93" s="115">
        <f t="shared" si="103"/>
        <v>1.55</v>
      </c>
      <c r="J93" s="176">
        <f t="shared" si="104"/>
        <v>710038714394.85205</v>
      </c>
      <c r="K93" s="177">
        <f t="shared" si="123"/>
        <v>2001018195112.9399</v>
      </c>
      <c r="L93" s="165"/>
      <c r="M93" s="178">
        <f t="shared" si="105"/>
        <v>5102596397538000</v>
      </c>
      <c r="N93" s="228">
        <f t="shared" si="119"/>
        <v>170086546584.60001</v>
      </c>
      <c r="O93" s="178">
        <f t="shared" si="106"/>
        <v>20010181951129.398</v>
      </c>
      <c r="P93" s="179">
        <f t="shared" si="120"/>
        <v>7058136906167590</v>
      </c>
      <c r="Q93" s="180">
        <f t="shared" si="107"/>
        <v>235271230205.58633</v>
      </c>
      <c r="R93" s="166">
        <f t="shared" si="124"/>
        <v>353</v>
      </c>
      <c r="S93" s="181">
        <f t="shared" si="125"/>
        <v>0.03</v>
      </c>
      <c r="T93" s="182">
        <f t="shared" si="126"/>
        <v>608</v>
      </c>
      <c r="U93" s="183">
        <f t="shared" si="127"/>
        <v>0.05</v>
      </c>
      <c r="V93" s="165"/>
      <c r="W93" s="184">
        <f t="shared" si="108"/>
        <v>430619115588305</v>
      </c>
      <c r="X93" s="185">
        <f t="shared" si="109"/>
        <v>7488756021755890</v>
      </c>
      <c r="Y93" s="186">
        <f t="shared" si="110"/>
        <v>0.06</v>
      </c>
      <c r="Z93" s="186">
        <f t="shared" si="111"/>
        <v>14353970519.610001</v>
      </c>
      <c r="AA93" s="165"/>
      <c r="AB93" s="187">
        <f t="shared" si="112"/>
        <v>-7488756021725890</v>
      </c>
      <c r="AC93" s="186">
        <f t="shared" si="113"/>
        <v>249625200725.20001</v>
      </c>
      <c r="AD93" s="188">
        <f t="shared" si="114"/>
        <v>0</v>
      </c>
      <c r="AE93" s="188">
        <f t="shared" si="115"/>
        <v>0</v>
      </c>
      <c r="AF93" s="189">
        <v>77</v>
      </c>
    </row>
    <row r="94" spans="1:32" s="10" customFormat="1" ht="15" customHeight="1" x14ac:dyDescent="0.2">
      <c r="A94" s="172">
        <v>78</v>
      </c>
      <c r="B94" s="114">
        <f t="shared" si="116"/>
        <v>3</v>
      </c>
      <c r="C94" s="173">
        <f t="shared" si="117"/>
        <v>258</v>
      </c>
      <c r="D94" s="165"/>
      <c r="E94" s="114">
        <f t="shared" si="101"/>
        <v>0</v>
      </c>
      <c r="F94" s="174">
        <f t="shared" ref="F94:G94" si="137">F93+E94</f>
        <v>194</v>
      </c>
      <c r="G94" s="175">
        <f t="shared" si="137"/>
        <v>12166</v>
      </c>
      <c r="H94" s="165"/>
      <c r="I94" s="115">
        <f t="shared" si="103"/>
        <v>1.55</v>
      </c>
      <c r="J94" s="176">
        <f t="shared" si="104"/>
        <v>1100560007312.02</v>
      </c>
      <c r="K94" s="177">
        <f t="shared" si="123"/>
        <v>3101578202424.96</v>
      </c>
      <c r="L94" s="165"/>
      <c r="M94" s="178">
        <f t="shared" si="105"/>
        <v>8002071762256400</v>
      </c>
      <c r="N94" s="228">
        <f t="shared" si="119"/>
        <v>266735725408.54666</v>
      </c>
      <c r="O94" s="178">
        <f t="shared" si="106"/>
        <v>31015782024249.602</v>
      </c>
      <c r="P94" s="179">
        <f t="shared" si="120"/>
        <v>1.09401122046867E+16</v>
      </c>
      <c r="Q94" s="180">
        <f t="shared" si="107"/>
        <v>364670406822.89001</v>
      </c>
      <c r="R94" s="166">
        <f t="shared" si="124"/>
        <v>353</v>
      </c>
      <c r="S94" s="181">
        <f t="shared" si="125"/>
        <v>0.03</v>
      </c>
      <c r="T94" s="182">
        <f t="shared" si="126"/>
        <v>611</v>
      </c>
      <c r="U94" s="183">
        <f t="shared" si="127"/>
        <v>0.05</v>
      </c>
      <c r="V94" s="165"/>
      <c r="W94" s="184">
        <f t="shared" si="108"/>
        <v>667459629161851</v>
      </c>
      <c r="X94" s="185">
        <f t="shared" si="109"/>
        <v>1.16075718338486E+16</v>
      </c>
      <c r="Y94" s="186">
        <f t="shared" si="110"/>
        <v>0.06</v>
      </c>
      <c r="Z94" s="186">
        <f t="shared" si="111"/>
        <v>22248654305.400002</v>
      </c>
      <c r="AA94" s="165"/>
      <c r="AB94" s="187">
        <f t="shared" si="112"/>
        <v>-1.16075718338186E+16</v>
      </c>
      <c r="AC94" s="186">
        <f t="shared" si="113"/>
        <v>386919061128.28998</v>
      </c>
      <c r="AD94" s="188">
        <f t="shared" si="114"/>
        <v>0</v>
      </c>
      <c r="AE94" s="188">
        <f t="shared" si="115"/>
        <v>0</v>
      </c>
      <c r="AF94" s="189">
        <v>78</v>
      </c>
    </row>
    <row r="95" spans="1:32" s="10" customFormat="1" ht="15" customHeight="1" x14ac:dyDescent="0.2">
      <c r="A95" s="172">
        <v>79</v>
      </c>
      <c r="B95" s="114">
        <f t="shared" si="116"/>
        <v>3</v>
      </c>
      <c r="C95" s="173">
        <f t="shared" si="117"/>
        <v>261</v>
      </c>
      <c r="D95" s="165"/>
      <c r="E95" s="114">
        <f t="shared" si="101"/>
        <v>0</v>
      </c>
      <c r="F95" s="174">
        <f t="shared" ref="F95:G95" si="138">F94+E95</f>
        <v>194</v>
      </c>
      <c r="G95" s="175">
        <f t="shared" si="138"/>
        <v>12360</v>
      </c>
      <c r="H95" s="165"/>
      <c r="I95" s="115">
        <f t="shared" si="103"/>
        <v>1.55</v>
      </c>
      <c r="J95" s="176">
        <f t="shared" si="104"/>
        <v>1705868011333.6299</v>
      </c>
      <c r="K95" s="177">
        <f t="shared" si="123"/>
        <v>4807446213758.5898</v>
      </c>
      <c r="L95" s="165"/>
      <c r="M95" s="178">
        <f t="shared" si="105"/>
        <v>1.25474346179099E+16</v>
      </c>
      <c r="N95" s="228">
        <f t="shared" si="119"/>
        <v>418247820596.99664</v>
      </c>
      <c r="O95" s="178">
        <f t="shared" si="106"/>
        <v>48074462137585.898</v>
      </c>
      <c r="P95" s="179">
        <f t="shared" si="120"/>
        <v>1.69571739173911E+16</v>
      </c>
      <c r="Q95" s="180">
        <f t="shared" si="107"/>
        <v>565239130579.70337</v>
      </c>
      <c r="R95" s="166">
        <f t="shared" si="124"/>
        <v>353</v>
      </c>
      <c r="S95" s="181">
        <f t="shared" si="125"/>
        <v>0.03</v>
      </c>
      <c r="T95" s="182">
        <f t="shared" si="126"/>
        <v>614</v>
      </c>
      <c r="U95" s="183">
        <f t="shared" si="127"/>
        <v>0.05</v>
      </c>
      <c r="V95" s="165"/>
      <c r="W95" s="184">
        <f t="shared" si="108"/>
        <v>1034562425200850</v>
      </c>
      <c r="X95" s="185">
        <f t="shared" si="109"/>
        <v>1.79917363425919E+16</v>
      </c>
      <c r="Y95" s="186">
        <f t="shared" si="110"/>
        <v>0.06</v>
      </c>
      <c r="Z95" s="186">
        <f t="shared" si="111"/>
        <v>34485414173.360001</v>
      </c>
      <c r="AA95" s="165"/>
      <c r="AB95" s="187">
        <f t="shared" si="112"/>
        <v>-1.79917363425619E+16</v>
      </c>
      <c r="AC95" s="186">
        <f t="shared" si="113"/>
        <v>599724544753.06006</v>
      </c>
      <c r="AD95" s="188">
        <f t="shared" si="114"/>
        <v>0</v>
      </c>
      <c r="AE95" s="188">
        <f t="shared" si="115"/>
        <v>0</v>
      </c>
      <c r="AF95" s="189">
        <v>79</v>
      </c>
    </row>
    <row r="96" spans="1:32" s="10" customFormat="1" ht="15" customHeight="1" x14ac:dyDescent="0.2">
      <c r="A96" s="172">
        <v>80</v>
      </c>
      <c r="B96" s="116">
        <f t="shared" si="116"/>
        <v>3</v>
      </c>
      <c r="C96" s="190">
        <f t="shared" si="117"/>
        <v>264</v>
      </c>
      <c r="D96" s="191"/>
      <c r="E96" s="116">
        <f t="shared" si="101"/>
        <v>0</v>
      </c>
      <c r="F96" s="190">
        <f t="shared" ref="F96:G96" si="139">F95+E96</f>
        <v>194</v>
      </c>
      <c r="G96" s="190">
        <f t="shared" si="139"/>
        <v>12554</v>
      </c>
      <c r="H96" s="191"/>
      <c r="I96" s="117">
        <f t="shared" si="103"/>
        <v>1.55</v>
      </c>
      <c r="J96" s="192">
        <f t="shared" si="104"/>
        <v>2644095417567.1299</v>
      </c>
      <c r="K96" s="192">
        <f t="shared" si="123"/>
        <v>7451541631325.7197</v>
      </c>
      <c r="L96" s="193"/>
      <c r="M96" s="194">
        <f t="shared" si="105"/>
        <v>1.96720699066999E+16</v>
      </c>
      <c r="N96" s="229">
        <f t="shared" si="119"/>
        <v>655735663556.66333</v>
      </c>
      <c r="O96" s="194">
        <f t="shared" si="106"/>
        <v>74515416313257.203</v>
      </c>
      <c r="P96" s="195">
        <f t="shared" si="120"/>
        <v>2.62836195720828E+16</v>
      </c>
      <c r="Q96" s="196">
        <f t="shared" si="107"/>
        <v>876120652402.76001</v>
      </c>
      <c r="R96" s="197">
        <f t="shared" si="124"/>
        <v>353</v>
      </c>
      <c r="S96" s="198">
        <f t="shared" si="125"/>
        <v>0.03</v>
      </c>
      <c r="T96" s="199">
        <f t="shared" si="126"/>
        <v>617</v>
      </c>
      <c r="U96" s="198">
        <f t="shared" si="127"/>
        <v>0.05</v>
      </c>
      <c r="V96" s="200"/>
      <c r="W96" s="201">
        <f t="shared" si="108"/>
        <v>1603571759061290</v>
      </c>
      <c r="X96" s="202">
        <f t="shared" si="109"/>
        <v>2.78871913311441E+16</v>
      </c>
      <c r="Y96" s="203">
        <f t="shared" si="110"/>
        <v>0.06</v>
      </c>
      <c r="Z96" s="203">
        <f t="shared" si="111"/>
        <v>53452391968.709999</v>
      </c>
      <c r="AA96" s="204"/>
      <c r="AB96" s="205">
        <f t="shared" si="112"/>
        <v>-2.78871913311141E+16</v>
      </c>
      <c r="AC96" s="203">
        <f t="shared" si="113"/>
        <v>929573044371.46997</v>
      </c>
      <c r="AD96" s="206">
        <f t="shared" si="114"/>
        <v>0</v>
      </c>
      <c r="AE96" s="206">
        <f t="shared" si="115"/>
        <v>0</v>
      </c>
      <c r="AF96" s="189">
        <v>80</v>
      </c>
    </row>
    <row r="97" spans="1:32" s="10" customFormat="1" ht="15" customHeight="1" x14ac:dyDescent="0.2">
      <c r="A97" s="172">
        <v>81</v>
      </c>
      <c r="B97" s="114">
        <f t="shared" si="116"/>
        <v>3</v>
      </c>
      <c r="C97" s="173">
        <f t="shared" si="117"/>
        <v>267</v>
      </c>
      <c r="D97" s="165"/>
      <c r="E97" s="114">
        <f t="shared" si="101"/>
        <v>0</v>
      </c>
      <c r="F97" s="174">
        <f t="shared" ref="F97:G97" si="140">F96+E97</f>
        <v>194</v>
      </c>
      <c r="G97" s="175">
        <f t="shared" si="140"/>
        <v>12748</v>
      </c>
      <c r="H97" s="165"/>
      <c r="I97" s="115">
        <f t="shared" si="103"/>
        <v>1.55</v>
      </c>
      <c r="J97" s="176">
        <f t="shared" si="104"/>
        <v>4098347897229.0498</v>
      </c>
      <c r="K97" s="177">
        <f t="shared" si="123"/>
        <v>11549889528554.77</v>
      </c>
      <c r="L97" s="165"/>
      <c r="M97" s="178">
        <f t="shared" si="105"/>
        <v>3.08382050412413E+16</v>
      </c>
      <c r="N97" s="228">
        <f t="shared" si="119"/>
        <v>1027940168041.3767</v>
      </c>
      <c r="O97" s="178">
        <f t="shared" si="106"/>
        <v>115498895285548</v>
      </c>
      <c r="P97" s="179">
        <f t="shared" si="120"/>
        <v>4.0739610336854704E+16</v>
      </c>
      <c r="Q97" s="180">
        <f t="shared" si="107"/>
        <v>1357987011228.4902</v>
      </c>
      <c r="R97" s="166">
        <f t="shared" si="124"/>
        <v>353</v>
      </c>
      <c r="S97" s="181">
        <f t="shared" si="125"/>
        <v>0.03</v>
      </c>
      <c r="T97" s="182">
        <f t="shared" si="126"/>
        <v>620</v>
      </c>
      <c r="U97" s="183">
        <f t="shared" si="127"/>
        <v>0.05</v>
      </c>
      <c r="V97" s="165"/>
      <c r="W97" s="184">
        <f t="shared" si="108"/>
        <v>2485536226544990</v>
      </c>
      <c r="X97" s="185">
        <f t="shared" si="109"/>
        <v>4.3225146563399696E+16</v>
      </c>
      <c r="Y97" s="186">
        <f t="shared" si="110"/>
        <v>0.06</v>
      </c>
      <c r="Z97" s="186">
        <f t="shared" si="111"/>
        <v>82851207551.5</v>
      </c>
      <c r="AA97" s="165"/>
      <c r="AB97" s="187">
        <f t="shared" si="112"/>
        <v>-4.3225146563369696E+16</v>
      </c>
      <c r="AC97" s="186">
        <f t="shared" si="113"/>
        <v>1440838218779.99</v>
      </c>
      <c r="AD97" s="188">
        <f t="shared" si="114"/>
        <v>0</v>
      </c>
      <c r="AE97" s="188">
        <f t="shared" si="115"/>
        <v>0</v>
      </c>
      <c r="AF97" s="189">
        <v>81</v>
      </c>
    </row>
    <row r="98" spans="1:32" s="10" customFormat="1" ht="15" customHeight="1" x14ac:dyDescent="0.2">
      <c r="A98" s="172">
        <v>82</v>
      </c>
      <c r="B98" s="114">
        <f t="shared" si="116"/>
        <v>3</v>
      </c>
      <c r="C98" s="173">
        <f t="shared" si="117"/>
        <v>270</v>
      </c>
      <c r="D98" s="165"/>
      <c r="E98" s="114">
        <f t="shared" si="101"/>
        <v>0</v>
      </c>
      <c r="F98" s="174">
        <f t="shared" ref="F98:G98" si="141">F97+E98</f>
        <v>194</v>
      </c>
      <c r="G98" s="175">
        <f t="shared" si="141"/>
        <v>12942</v>
      </c>
      <c r="H98" s="165"/>
      <c r="I98" s="115">
        <f t="shared" si="103"/>
        <v>1.55</v>
      </c>
      <c r="J98" s="176">
        <f t="shared" si="104"/>
        <v>6352439240705.0303</v>
      </c>
      <c r="K98" s="177">
        <f t="shared" si="123"/>
        <v>17902328769259.801</v>
      </c>
      <c r="L98" s="165"/>
      <c r="M98" s="178">
        <f t="shared" si="105"/>
        <v>4.8336287677001504E+16</v>
      </c>
      <c r="N98" s="228">
        <f t="shared" si="119"/>
        <v>1611209589233.3835</v>
      </c>
      <c r="O98" s="178">
        <f t="shared" si="106"/>
        <v>179023287692598</v>
      </c>
      <c r="P98" s="179">
        <f t="shared" si="120"/>
        <v>6.3146396022251E+16</v>
      </c>
      <c r="Q98" s="180">
        <f t="shared" si="107"/>
        <v>2104879867408.3667</v>
      </c>
      <c r="R98" s="166">
        <f t="shared" si="124"/>
        <v>353</v>
      </c>
      <c r="S98" s="181">
        <f t="shared" si="125"/>
        <v>0.03</v>
      </c>
      <c r="T98" s="182">
        <f t="shared" si="126"/>
        <v>623</v>
      </c>
      <c r="U98" s="183">
        <f t="shared" si="127"/>
        <v>0.05</v>
      </c>
      <c r="V98" s="165"/>
      <c r="W98" s="184">
        <f t="shared" si="108"/>
        <v>3852581151144710</v>
      </c>
      <c r="X98" s="185">
        <f t="shared" si="109"/>
        <v>6.6998977173395696E+16</v>
      </c>
      <c r="Y98" s="186">
        <f t="shared" si="110"/>
        <v>0.06</v>
      </c>
      <c r="Z98" s="186">
        <f t="shared" si="111"/>
        <v>128419371704.82001</v>
      </c>
      <c r="AA98" s="165"/>
      <c r="AB98" s="187">
        <f t="shared" si="112"/>
        <v>-6.6998977173365696E+16</v>
      </c>
      <c r="AC98" s="186">
        <f t="shared" si="113"/>
        <v>2233299239113.1899</v>
      </c>
      <c r="AD98" s="188">
        <f t="shared" si="114"/>
        <v>0</v>
      </c>
      <c r="AE98" s="188">
        <f t="shared" si="115"/>
        <v>0</v>
      </c>
      <c r="AF98" s="189">
        <v>82</v>
      </c>
    </row>
    <row r="99" spans="1:32" s="10" customFormat="1" ht="15" customHeight="1" x14ac:dyDescent="0.2">
      <c r="A99" s="172">
        <v>83</v>
      </c>
      <c r="B99" s="114">
        <f t="shared" si="116"/>
        <v>3</v>
      </c>
      <c r="C99" s="173">
        <f t="shared" si="117"/>
        <v>273</v>
      </c>
      <c r="D99" s="165"/>
      <c r="E99" s="114">
        <f t="shared" si="101"/>
        <v>0</v>
      </c>
      <c r="F99" s="174">
        <f t="shared" ref="F99:G99" si="142">F98+E99</f>
        <v>194</v>
      </c>
      <c r="G99" s="175">
        <f t="shared" si="142"/>
        <v>13136</v>
      </c>
      <c r="H99" s="165"/>
      <c r="I99" s="115">
        <f t="shared" si="103"/>
        <v>1.55</v>
      </c>
      <c r="J99" s="176">
        <f t="shared" si="104"/>
        <v>9846280823092.8008</v>
      </c>
      <c r="K99" s="177">
        <f t="shared" si="123"/>
        <v>27748609592352.602</v>
      </c>
      <c r="L99" s="165"/>
      <c r="M99" s="178">
        <f t="shared" si="105"/>
        <v>7.5753704187122592E+16</v>
      </c>
      <c r="N99" s="228">
        <f t="shared" si="119"/>
        <v>2525123472904.0864</v>
      </c>
      <c r="O99" s="178">
        <f t="shared" si="106"/>
        <v>277486095923526</v>
      </c>
      <c r="P99" s="179">
        <f t="shared" si="120"/>
        <v>9.7876913834615008E+16</v>
      </c>
      <c r="Q99" s="180">
        <f t="shared" si="107"/>
        <v>3262563794487.167</v>
      </c>
      <c r="R99" s="166">
        <f t="shared" si="124"/>
        <v>353</v>
      </c>
      <c r="S99" s="181">
        <f t="shared" si="125"/>
        <v>0.03</v>
      </c>
      <c r="T99" s="182">
        <f t="shared" si="126"/>
        <v>626</v>
      </c>
      <c r="U99" s="183">
        <f t="shared" si="127"/>
        <v>0.05</v>
      </c>
      <c r="V99" s="165"/>
      <c r="W99" s="184">
        <f t="shared" si="108"/>
        <v>5971500784274280</v>
      </c>
      <c r="X99" s="185">
        <f t="shared" si="109"/>
        <v>1.0384841461888899E+17</v>
      </c>
      <c r="Y99" s="186">
        <f t="shared" si="110"/>
        <v>0.06</v>
      </c>
      <c r="Z99" s="186">
        <f t="shared" si="111"/>
        <v>199050026142.48001</v>
      </c>
      <c r="AA99" s="165"/>
      <c r="AB99" s="187">
        <f t="shared" si="112"/>
        <v>-1.0384841461885901E+17</v>
      </c>
      <c r="AC99" s="186">
        <f t="shared" si="113"/>
        <v>3461613820629.6299</v>
      </c>
      <c r="AD99" s="188">
        <f t="shared" si="114"/>
        <v>0</v>
      </c>
      <c r="AE99" s="188">
        <f t="shared" si="115"/>
        <v>0</v>
      </c>
      <c r="AF99" s="189">
        <v>83</v>
      </c>
    </row>
    <row r="100" spans="1:32" s="10" customFormat="1" ht="15" customHeight="1" x14ac:dyDescent="0.2">
      <c r="A100" s="172">
        <v>84</v>
      </c>
      <c r="B100" s="114">
        <f t="shared" si="116"/>
        <v>3</v>
      </c>
      <c r="C100" s="173">
        <f t="shared" si="117"/>
        <v>276</v>
      </c>
      <c r="D100" s="165"/>
      <c r="E100" s="114">
        <f t="shared" si="101"/>
        <v>0</v>
      </c>
      <c r="F100" s="174">
        <f t="shared" ref="F100:G100" si="143">F99+E100</f>
        <v>194</v>
      </c>
      <c r="G100" s="175">
        <f t="shared" si="143"/>
        <v>13330</v>
      </c>
      <c r="H100" s="165"/>
      <c r="I100" s="115">
        <f t="shared" si="103"/>
        <v>1.55</v>
      </c>
      <c r="J100" s="176">
        <f t="shared" si="104"/>
        <v>15261735275793.801</v>
      </c>
      <c r="K100" s="177">
        <f t="shared" si="123"/>
        <v>43010344868146.406</v>
      </c>
      <c r="L100" s="165"/>
      <c r="M100" s="178">
        <f t="shared" si="105"/>
        <v>1.18708551836084E+17</v>
      </c>
      <c r="N100" s="228">
        <f t="shared" si="119"/>
        <v>3956951727869.4668</v>
      </c>
      <c r="O100" s="178">
        <f t="shared" si="106"/>
        <v>430103448681464</v>
      </c>
      <c r="P100" s="179">
        <f t="shared" si="120"/>
        <v>1.5170921644377901E+17</v>
      </c>
      <c r="Q100" s="180">
        <f t="shared" si="107"/>
        <v>5056973881459.2998</v>
      </c>
      <c r="R100" s="166">
        <f t="shared" si="124"/>
        <v>353</v>
      </c>
      <c r="S100" s="181">
        <f t="shared" si="125"/>
        <v>0.03</v>
      </c>
      <c r="T100" s="182">
        <f t="shared" si="126"/>
        <v>629</v>
      </c>
      <c r="U100" s="183">
        <f t="shared" si="127"/>
        <v>0.05</v>
      </c>
      <c r="V100" s="165"/>
      <c r="W100" s="184">
        <f t="shared" si="108"/>
        <v>9255826215625110</v>
      </c>
      <c r="X100" s="185">
        <f t="shared" si="109"/>
        <v>1.60965042659404E+17</v>
      </c>
      <c r="Y100" s="186">
        <f t="shared" si="110"/>
        <v>0.06</v>
      </c>
      <c r="Z100" s="186">
        <f t="shared" si="111"/>
        <v>308527540520.84003</v>
      </c>
      <c r="AA100" s="165"/>
      <c r="AB100" s="187">
        <f t="shared" si="112"/>
        <v>-1.6096504265937402E+17</v>
      </c>
      <c r="AC100" s="186">
        <f t="shared" si="113"/>
        <v>5365501421980.1299</v>
      </c>
      <c r="AD100" s="188">
        <f t="shared" si="114"/>
        <v>0</v>
      </c>
      <c r="AE100" s="188">
        <f t="shared" si="115"/>
        <v>0</v>
      </c>
      <c r="AF100" s="189">
        <v>84</v>
      </c>
    </row>
    <row r="101" spans="1:32" s="10" customFormat="1" ht="15" customHeight="1" x14ac:dyDescent="0.2">
      <c r="A101" s="172">
        <v>85</v>
      </c>
      <c r="B101" s="116">
        <f t="shared" si="116"/>
        <v>3</v>
      </c>
      <c r="C101" s="190">
        <f t="shared" si="117"/>
        <v>279</v>
      </c>
      <c r="D101" s="191"/>
      <c r="E101" s="116">
        <f t="shared" si="101"/>
        <v>0</v>
      </c>
      <c r="F101" s="190">
        <f t="shared" ref="F101:G101" si="144">F100+E101</f>
        <v>194</v>
      </c>
      <c r="G101" s="190">
        <f t="shared" si="144"/>
        <v>13524</v>
      </c>
      <c r="H101" s="191"/>
      <c r="I101" s="117">
        <f t="shared" si="103"/>
        <v>1.55</v>
      </c>
      <c r="J101" s="192">
        <f t="shared" si="104"/>
        <v>23655689677480.398</v>
      </c>
      <c r="K101" s="192">
        <f t="shared" si="123"/>
        <v>66666034545626.805</v>
      </c>
      <c r="L101" s="193"/>
      <c r="M101" s="194">
        <f t="shared" si="105"/>
        <v>1.8599823638229901E+17</v>
      </c>
      <c r="N101" s="229">
        <f t="shared" si="119"/>
        <v>6199941212743.2998</v>
      </c>
      <c r="O101" s="194">
        <f t="shared" si="106"/>
        <v>666660345456268</v>
      </c>
      <c r="P101" s="195">
        <f t="shared" si="120"/>
        <v>2.3514928548798301E+17</v>
      </c>
      <c r="Q101" s="196">
        <f t="shared" si="107"/>
        <v>7838309516266.1006</v>
      </c>
      <c r="R101" s="197">
        <f t="shared" si="124"/>
        <v>353</v>
      </c>
      <c r="S101" s="198">
        <f t="shared" si="125"/>
        <v>0.03</v>
      </c>
      <c r="T101" s="199">
        <f t="shared" si="126"/>
        <v>632</v>
      </c>
      <c r="U101" s="198">
        <f t="shared" si="127"/>
        <v>0.05</v>
      </c>
      <c r="V101" s="200"/>
      <c r="W101" s="201">
        <f t="shared" si="108"/>
        <v>1.43465306342189E+16</v>
      </c>
      <c r="X101" s="202">
        <f t="shared" si="109"/>
        <v>2.4949581612220198E+17</v>
      </c>
      <c r="Y101" s="203">
        <f t="shared" si="110"/>
        <v>0.06</v>
      </c>
      <c r="Z101" s="203">
        <f t="shared" si="111"/>
        <v>478217687807.29999</v>
      </c>
      <c r="AA101" s="204"/>
      <c r="AB101" s="205">
        <f t="shared" si="112"/>
        <v>-2.49495816122172E+17</v>
      </c>
      <c r="AC101" s="203">
        <f t="shared" si="113"/>
        <v>8316527204073.4004</v>
      </c>
      <c r="AD101" s="206">
        <f t="shared" si="114"/>
        <v>0</v>
      </c>
      <c r="AE101" s="206">
        <f t="shared" si="115"/>
        <v>0</v>
      </c>
      <c r="AF101" s="189">
        <v>85</v>
      </c>
    </row>
    <row r="102" spans="1:32" s="10" customFormat="1" ht="15" customHeight="1" x14ac:dyDescent="0.2">
      <c r="A102" s="172">
        <v>86</v>
      </c>
      <c r="B102" s="114">
        <f t="shared" si="116"/>
        <v>3</v>
      </c>
      <c r="C102" s="173">
        <f t="shared" si="117"/>
        <v>282</v>
      </c>
      <c r="D102" s="165"/>
      <c r="E102" s="114">
        <f t="shared" si="101"/>
        <v>0</v>
      </c>
      <c r="F102" s="174">
        <f t="shared" ref="F102:G102" si="145">F101+E102</f>
        <v>194</v>
      </c>
      <c r="G102" s="175">
        <f t="shared" si="145"/>
        <v>13718</v>
      </c>
      <c r="H102" s="165"/>
      <c r="I102" s="115">
        <f t="shared" si="103"/>
        <v>1.55</v>
      </c>
      <c r="J102" s="176">
        <f t="shared" si="104"/>
        <v>36666319000094.602</v>
      </c>
      <c r="K102" s="177">
        <f t="shared" si="123"/>
        <v>103332353545721.41</v>
      </c>
      <c r="L102" s="165"/>
      <c r="M102" s="178">
        <f t="shared" si="105"/>
        <v>2.9139723699893299E+17</v>
      </c>
      <c r="N102" s="228">
        <f t="shared" si="119"/>
        <v>9713241233297.7656</v>
      </c>
      <c r="O102" s="178">
        <f t="shared" si="106"/>
        <v>1033323535457210</v>
      </c>
      <c r="P102" s="179">
        <f t="shared" si="120"/>
        <v>3.6448139250649901E+17</v>
      </c>
      <c r="Q102" s="180">
        <f t="shared" si="107"/>
        <v>12149379750216.633</v>
      </c>
      <c r="R102" s="166">
        <f t="shared" si="124"/>
        <v>353</v>
      </c>
      <c r="S102" s="181">
        <f t="shared" si="125"/>
        <v>0.03</v>
      </c>
      <c r="T102" s="182">
        <f t="shared" si="126"/>
        <v>635</v>
      </c>
      <c r="U102" s="183">
        <f t="shared" si="127"/>
        <v>0.05</v>
      </c>
      <c r="V102" s="165"/>
      <c r="W102" s="184">
        <f t="shared" si="108"/>
        <v>2.22371224830392E+16</v>
      </c>
      <c r="X102" s="185">
        <f t="shared" si="109"/>
        <v>3.8671851498953798E+17</v>
      </c>
      <c r="Y102" s="186">
        <f t="shared" si="110"/>
        <v>0.06</v>
      </c>
      <c r="Z102" s="186">
        <f t="shared" si="111"/>
        <v>741237416101.31006</v>
      </c>
      <c r="AA102" s="165"/>
      <c r="AB102" s="187">
        <f t="shared" si="112"/>
        <v>-3.8671851498950797E+17</v>
      </c>
      <c r="AC102" s="186">
        <f t="shared" si="113"/>
        <v>12890617166317.9</v>
      </c>
      <c r="AD102" s="188">
        <f t="shared" si="114"/>
        <v>0</v>
      </c>
      <c r="AE102" s="188">
        <f t="shared" si="115"/>
        <v>0</v>
      </c>
      <c r="AF102" s="189">
        <v>86</v>
      </c>
    </row>
    <row r="103" spans="1:32" s="10" customFormat="1" ht="15" customHeight="1" x14ac:dyDescent="0.2">
      <c r="A103" s="172">
        <v>87</v>
      </c>
      <c r="B103" s="114">
        <f t="shared" si="116"/>
        <v>3</v>
      </c>
      <c r="C103" s="173">
        <f t="shared" si="117"/>
        <v>285</v>
      </c>
      <c r="D103" s="165"/>
      <c r="E103" s="114">
        <f t="shared" si="101"/>
        <v>0</v>
      </c>
      <c r="F103" s="174">
        <f t="shared" ref="F103:G103" si="146">F102+E103</f>
        <v>194</v>
      </c>
      <c r="G103" s="175">
        <f t="shared" si="146"/>
        <v>13912</v>
      </c>
      <c r="H103" s="165"/>
      <c r="I103" s="115">
        <f t="shared" si="103"/>
        <v>1.55</v>
      </c>
      <c r="J103" s="176">
        <f t="shared" si="104"/>
        <v>56832794450146.602</v>
      </c>
      <c r="K103" s="177">
        <f t="shared" si="123"/>
        <v>160165147995868</v>
      </c>
      <c r="L103" s="165"/>
      <c r="M103" s="178">
        <f t="shared" si="105"/>
        <v>4.56470671788224E+17</v>
      </c>
      <c r="N103" s="228">
        <f t="shared" si="119"/>
        <v>15215689059607.467</v>
      </c>
      <c r="O103" s="178">
        <f t="shared" si="106"/>
        <v>1601651479958680</v>
      </c>
      <c r="P103" s="179">
        <f t="shared" si="120"/>
        <v>5.6494615838519802E+17</v>
      </c>
      <c r="Q103" s="180">
        <f t="shared" si="107"/>
        <v>18831538612839.934</v>
      </c>
      <c r="R103" s="166">
        <f t="shared" si="124"/>
        <v>353</v>
      </c>
      <c r="S103" s="181">
        <f t="shared" si="125"/>
        <v>0.03</v>
      </c>
      <c r="T103" s="182">
        <f t="shared" si="126"/>
        <v>638</v>
      </c>
      <c r="U103" s="183">
        <f t="shared" si="127"/>
        <v>0.05</v>
      </c>
      <c r="V103" s="165"/>
      <c r="W103" s="184">
        <f t="shared" si="108"/>
        <v>3.44675398487108E+16</v>
      </c>
      <c r="X103" s="185">
        <f t="shared" si="109"/>
        <v>5.9941369823390899E+17</v>
      </c>
      <c r="Y103" s="186">
        <f t="shared" si="110"/>
        <v>0.06</v>
      </c>
      <c r="Z103" s="186">
        <f t="shared" si="111"/>
        <v>1148917994957.03</v>
      </c>
      <c r="AA103" s="165"/>
      <c r="AB103" s="187">
        <f t="shared" si="112"/>
        <v>-5.9941369823387904E+17</v>
      </c>
      <c r="AC103" s="186">
        <f t="shared" si="113"/>
        <v>19980456607797</v>
      </c>
      <c r="AD103" s="188">
        <f t="shared" si="114"/>
        <v>0</v>
      </c>
      <c r="AE103" s="188">
        <f t="shared" si="115"/>
        <v>0</v>
      </c>
      <c r="AF103" s="189">
        <v>87</v>
      </c>
    </row>
    <row r="104" spans="1:32" s="10" customFormat="1" ht="15" customHeight="1" x14ac:dyDescent="0.2">
      <c r="A104" s="172">
        <v>88</v>
      </c>
      <c r="B104" s="114">
        <f t="shared" si="116"/>
        <v>3</v>
      </c>
      <c r="C104" s="173">
        <f t="shared" si="117"/>
        <v>288</v>
      </c>
      <c r="D104" s="165"/>
      <c r="E104" s="114">
        <f t="shared" si="101"/>
        <v>0</v>
      </c>
      <c r="F104" s="174">
        <f t="shared" ref="F104:G104" si="147">F103+E104</f>
        <v>194</v>
      </c>
      <c r="G104" s="175">
        <f t="shared" si="147"/>
        <v>14106</v>
      </c>
      <c r="H104" s="165"/>
      <c r="I104" s="115">
        <f t="shared" si="103"/>
        <v>1.55</v>
      </c>
      <c r="J104" s="176">
        <f t="shared" si="104"/>
        <v>88090831397727.203</v>
      </c>
      <c r="K104" s="177">
        <f t="shared" si="123"/>
        <v>248255979393595.19</v>
      </c>
      <c r="L104" s="165"/>
      <c r="M104" s="178">
        <f t="shared" si="105"/>
        <v>7.1497722065355405E+17</v>
      </c>
      <c r="N104" s="228">
        <f t="shared" si="119"/>
        <v>23832574021785.137</v>
      </c>
      <c r="O104" s="178">
        <f t="shared" si="106"/>
        <v>2482559793935950</v>
      </c>
      <c r="P104" s="179">
        <f t="shared" si="120"/>
        <v>8.7566654549718195E+17</v>
      </c>
      <c r="Q104" s="180">
        <f t="shared" si="107"/>
        <v>29188884849906.066</v>
      </c>
      <c r="R104" s="166">
        <f t="shared" si="124"/>
        <v>353</v>
      </c>
      <c r="S104" s="181">
        <f t="shared" si="125"/>
        <v>0.03</v>
      </c>
      <c r="T104" s="182">
        <f t="shared" si="126"/>
        <v>641</v>
      </c>
      <c r="U104" s="183">
        <f t="shared" si="127"/>
        <v>0.05</v>
      </c>
      <c r="V104" s="165"/>
      <c r="W104" s="184">
        <f t="shared" si="108"/>
        <v>5.3424686765501696E+16</v>
      </c>
      <c r="X104" s="185">
        <f t="shared" si="109"/>
        <v>9.2909123226268403E+17</v>
      </c>
      <c r="Y104" s="186">
        <f t="shared" si="110"/>
        <v>0.06</v>
      </c>
      <c r="Z104" s="186">
        <f t="shared" si="111"/>
        <v>1780822892183.3899</v>
      </c>
      <c r="AA104" s="165"/>
      <c r="AB104" s="187">
        <f t="shared" si="112"/>
        <v>-9.2909123226265395E+17</v>
      </c>
      <c r="AC104" s="186">
        <f t="shared" si="113"/>
        <v>30969707742089.5</v>
      </c>
      <c r="AD104" s="188">
        <f t="shared" si="114"/>
        <v>0</v>
      </c>
      <c r="AE104" s="188">
        <f t="shared" si="115"/>
        <v>0</v>
      </c>
      <c r="AF104" s="189">
        <v>88</v>
      </c>
    </row>
    <row r="105" spans="1:32" s="10" customFormat="1" ht="15" customHeight="1" x14ac:dyDescent="0.2">
      <c r="A105" s="172">
        <v>89</v>
      </c>
      <c r="B105" s="114">
        <f t="shared" si="116"/>
        <v>3</v>
      </c>
      <c r="C105" s="173">
        <f t="shared" si="117"/>
        <v>291</v>
      </c>
      <c r="D105" s="165"/>
      <c r="E105" s="114">
        <f t="shared" si="101"/>
        <v>0</v>
      </c>
      <c r="F105" s="174">
        <f t="shared" ref="F105:G105" si="148">F104+E105</f>
        <v>194</v>
      </c>
      <c r="G105" s="175">
        <f t="shared" si="148"/>
        <v>14300</v>
      </c>
      <c r="H105" s="165"/>
      <c r="I105" s="115">
        <f t="shared" si="103"/>
        <v>1.55</v>
      </c>
      <c r="J105" s="176">
        <f t="shared" si="104"/>
        <v>136540788666477</v>
      </c>
      <c r="K105" s="177">
        <f t="shared" si="123"/>
        <v>384796768060072.19</v>
      </c>
      <c r="L105" s="165"/>
      <c r="M105" s="178">
        <f t="shared" si="105"/>
        <v>1.11975859505481E+18</v>
      </c>
      <c r="N105" s="228">
        <f t="shared" si="119"/>
        <v>37325286501827</v>
      </c>
      <c r="O105" s="178">
        <f t="shared" si="106"/>
        <v>3847967680600720</v>
      </c>
      <c r="P105" s="179">
        <f t="shared" si="120"/>
        <v>1.3572831455207601E+18</v>
      </c>
      <c r="Q105" s="180">
        <f t="shared" si="107"/>
        <v>45242771517358.672</v>
      </c>
      <c r="R105" s="166">
        <f t="shared" si="124"/>
        <v>353</v>
      </c>
      <c r="S105" s="181">
        <f t="shared" si="125"/>
        <v>0.02</v>
      </c>
      <c r="T105" s="182">
        <f t="shared" si="126"/>
        <v>644</v>
      </c>
      <c r="U105" s="183">
        <f t="shared" si="127"/>
        <v>0.05</v>
      </c>
      <c r="V105" s="165"/>
      <c r="W105" s="184">
        <f t="shared" si="108"/>
        <v>8.2808264486527504E+16</v>
      </c>
      <c r="X105" s="185">
        <f t="shared" si="109"/>
        <v>1.4400914100072901E+18</v>
      </c>
      <c r="Y105" s="186">
        <f t="shared" si="110"/>
        <v>0.06</v>
      </c>
      <c r="Z105" s="186">
        <f t="shared" si="111"/>
        <v>2760275482884.25</v>
      </c>
      <c r="AA105" s="165"/>
      <c r="AB105" s="187">
        <f t="shared" si="112"/>
        <v>-1.4400914100072599E+18</v>
      </c>
      <c r="AC105" s="186">
        <f t="shared" si="113"/>
        <v>48003047000243</v>
      </c>
      <c r="AD105" s="188">
        <f t="shared" si="114"/>
        <v>0</v>
      </c>
      <c r="AE105" s="188">
        <f t="shared" si="115"/>
        <v>0</v>
      </c>
      <c r="AF105" s="189">
        <v>89</v>
      </c>
    </row>
    <row r="106" spans="1:32" s="10" customFormat="1" ht="15" customHeight="1" x14ac:dyDescent="0.2">
      <c r="A106" s="172">
        <v>90</v>
      </c>
      <c r="B106" s="116">
        <f t="shared" si="116"/>
        <v>3</v>
      </c>
      <c r="C106" s="190">
        <f t="shared" si="117"/>
        <v>294</v>
      </c>
      <c r="D106" s="191"/>
      <c r="E106" s="116">
        <f t="shared" si="101"/>
        <v>0</v>
      </c>
      <c r="F106" s="190">
        <f t="shared" ref="F106:G106" si="149">F105+E106</f>
        <v>194</v>
      </c>
      <c r="G106" s="190">
        <f t="shared" si="149"/>
        <v>14494</v>
      </c>
      <c r="H106" s="191"/>
      <c r="I106" s="117">
        <f t="shared" si="103"/>
        <v>1.55</v>
      </c>
      <c r="J106" s="192">
        <f t="shared" si="104"/>
        <v>211638222433039</v>
      </c>
      <c r="K106" s="192">
        <f t="shared" si="123"/>
        <v>596434990493111.25</v>
      </c>
      <c r="L106" s="193"/>
      <c r="M106" s="194">
        <f t="shared" si="105"/>
        <v>1.75351887204975E+18</v>
      </c>
      <c r="N106" s="229">
        <f t="shared" si="119"/>
        <v>58450629068325</v>
      </c>
      <c r="O106" s="194">
        <f t="shared" si="106"/>
        <v>5964349904931110</v>
      </c>
      <c r="P106" s="195">
        <f t="shared" si="120"/>
        <v>2.1037888755573E+18</v>
      </c>
      <c r="Q106" s="196">
        <f t="shared" si="107"/>
        <v>70126295851910</v>
      </c>
      <c r="R106" s="197">
        <f t="shared" si="124"/>
        <v>353</v>
      </c>
      <c r="S106" s="198">
        <f t="shared" si="125"/>
        <v>0.02</v>
      </c>
      <c r="T106" s="199">
        <f t="shared" si="126"/>
        <v>647</v>
      </c>
      <c r="U106" s="198">
        <f t="shared" si="127"/>
        <v>0.04</v>
      </c>
      <c r="V106" s="200"/>
      <c r="W106" s="201">
        <f t="shared" si="108"/>
        <v>1.28352809954118E+17</v>
      </c>
      <c r="X106" s="202">
        <f t="shared" si="109"/>
        <v>2.2321416855114199E+18</v>
      </c>
      <c r="Y106" s="203">
        <f t="shared" si="110"/>
        <v>0.06</v>
      </c>
      <c r="Z106" s="203">
        <f t="shared" si="111"/>
        <v>4278426998470.6001</v>
      </c>
      <c r="AA106" s="204"/>
      <c r="AB106" s="205">
        <f t="shared" si="112"/>
        <v>-2.23214168551139E+18</v>
      </c>
      <c r="AC106" s="203">
        <f t="shared" si="113"/>
        <v>74404722850380.703</v>
      </c>
      <c r="AD106" s="206">
        <f t="shared" si="114"/>
        <v>0</v>
      </c>
      <c r="AE106" s="206">
        <f t="shared" si="115"/>
        <v>0</v>
      </c>
      <c r="AF106" s="189">
        <v>90</v>
      </c>
    </row>
    <row r="107" spans="1:32" s="10" customFormat="1" ht="15" customHeight="1" x14ac:dyDescent="0.2">
      <c r="A107" s="172">
        <v>91</v>
      </c>
      <c r="B107" s="114">
        <f t="shared" si="116"/>
        <v>3</v>
      </c>
      <c r="C107" s="173">
        <f t="shared" si="117"/>
        <v>297</v>
      </c>
      <c r="D107" s="165"/>
      <c r="E107" s="114">
        <f t="shared" si="101"/>
        <v>0</v>
      </c>
      <c r="F107" s="174">
        <f t="shared" ref="F107:G107" si="150">F106+E107</f>
        <v>194</v>
      </c>
      <c r="G107" s="175">
        <f t="shared" si="150"/>
        <v>14688</v>
      </c>
      <c r="H107" s="165"/>
      <c r="I107" s="115">
        <f t="shared" si="103"/>
        <v>1.55</v>
      </c>
      <c r="J107" s="176">
        <f t="shared" si="104"/>
        <v>328039244771210</v>
      </c>
      <c r="K107" s="177">
        <f t="shared" si="123"/>
        <v>924474235264321.25</v>
      </c>
      <c r="L107" s="165"/>
      <c r="M107" s="178">
        <f t="shared" si="105"/>
        <v>2.7456884787350298E+18</v>
      </c>
      <c r="N107" s="228">
        <f t="shared" si="119"/>
        <v>91522949291167.656</v>
      </c>
      <c r="O107" s="178">
        <f t="shared" si="106"/>
        <v>9244742352643210</v>
      </c>
      <c r="P107" s="179">
        <f t="shared" si="120"/>
        <v>3.26087275711394E+18</v>
      </c>
      <c r="Q107" s="180">
        <f t="shared" si="107"/>
        <v>108695758570464.67</v>
      </c>
      <c r="R107" s="166">
        <f t="shared" si="124"/>
        <v>353</v>
      </c>
      <c r="S107" s="181">
        <f t="shared" si="125"/>
        <v>0.02</v>
      </c>
      <c r="T107" s="182">
        <f t="shared" si="126"/>
        <v>650</v>
      </c>
      <c r="U107" s="183">
        <f t="shared" si="127"/>
        <v>0.04</v>
      </c>
      <c r="V107" s="165"/>
      <c r="W107" s="184">
        <f t="shared" si="108"/>
        <v>1.9894685542888198E+17</v>
      </c>
      <c r="X107" s="185">
        <f t="shared" si="109"/>
        <v>3.4598196125428198E+18</v>
      </c>
      <c r="Y107" s="186">
        <f t="shared" si="110"/>
        <v>0.06</v>
      </c>
      <c r="Z107" s="186">
        <f t="shared" si="111"/>
        <v>6631561847629.4004</v>
      </c>
      <c r="AA107" s="165"/>
      <c r="AB107" s="187">
        <f t="shared" si="112"/>
        <v>-3.4598196125427901E+18</v>
      </c>
      <c r="AC107" s="186">
        <f t="shared" si="113"/>
        <v>115327320418094</v>
      </c>
      <c r="AD107" s="188">
        <f t="shared" si="114"/>
        <v>0</v>
      </c>
      <c r="AE107" s="188">
        <f t="shared" si="115"/>
        <v>0</v>
      </c>
      <c r="AF107" s="189">
        <v>91</v>
      </c>
    </row>
    <row r="108" spans="1:32" s="10" customFormat="1" ht="15" customHeight="1" x14ac:dyDescent="0.2">
      <c r="A108" s="172">
        <v>92</v>
      </c>
      <c r="B108" s="114">
        <f t="shared" si="116"/>
        <v>3</v>
      </c>
      <c r="C108" s="173">
        <f t="shared" si="117"/>
        <v>300</v>
      </c>
      <c r="D108" s="165"/>
      <c r="E108" s="114">
        <f t="shared" si="101"/>
        <v>0</v>
      </c>
      <c r="F108" s="174">
        <f t="shared" ref="F108:G108" si="151">F107+E108</f>
        <v>194</v>
      </c>
      <c r="G108" s="175">
        <f t="shared" si="151"/>
        <v>14882</v>
      </c>
      <c r="H108" s="165"/>
      <c r="I108" s="115">
        <f t="shared" si="103"/>
        <v>1.55</v>
      </c>
      <c r="J108" s="176">
        <f t="shared" si="104"/>
        <v>508460829395375</v>
      </c>
      <c r="K108" s="177">
        <f t="shared" si="123"/>
        <v>1432935064659696.3</v>
      </c>
      <c r="L108" s="165"/>
      <c r="M108" s="178">
        <f t="shared" si="105"/>
        <v>4.2988051939791002E+18</v>
      </c>
      <c r="N108" s="228">
        <f t="shared" si="119"/>
        <v>143293506465970</v>
      </c>
      <c r="O108" s="178">
        <f t="shared" si="106"/>
        <v>1.4329350646597E+16</v>
      </c>
      <c r="P108" s="179">
        <f t="shared" si="120"/>
        <v>5.0543527735267205E+18</v>
      </c>
      <c r="Q108" s="180">
        <f t="shared" si="107"/>
        <v>168478425784224.03</v>
      </c>
      <c r="R108" s="166">
        <f t="shared" si="124"/>
        <v>353</v>
      </c>
      <c r="S108" s="181">
        <f t="shared" si="125"/>
        <v>0.02</v>
      </c>
      <c r="T108" s="182">
        <f t="shared" si="126"/>
        <v>653</v>
      </c>
      <c r="U108" s="183">
        <f t="shared" si="127"/>
        <v>0.04</v>
      </c>
      <c r="V108" s="165"/>
      <c r="W108" s="184">
        <f t="shared" si="108"/>
        <v>3.0836762591476698E+17</v>
      </c>
      <c r="X108" s="185">
        <f t="shared" si="109"/>
        <v>5.3627203994414899E+18</v>
      </c>
      <c r="Y108" s="186">
        <f t="shared" si="110"/>
        <v>0.06</v>
      </c>
      <c r="Z108" s="186">
        <f t="shared" si="111"/>
        <v>10278920863825.6</v>
      </c>
      <c r="AA108" s="165"/>
      <c r="AB108" s="187">
        <f t="shared" si="112"/>
        <v>-5.3627203994414602E+18</v>
      </c>
      <c r="AC108" s="186">
        <f t="shared" si="113"/>
        <v>178757346648050</v>
      </c>
      <c r="AD108" s="188">
        <f t="shared" si="114"/>
        <v>0</v>
      </c>
      <c r="AE108" s="188">
        <f t="shared" si="115"/>
        <v>0</v>
      </c>
      <c r="AF108" s="189">
        <v>92</v>
      </c>
    </row>
    <row r="109" spans="1:32" s="10" customFormat="1" ht="15" customHeight="1" x14ac:dyDescent="0.2">
      <c r="A109" s="172">
        <v>93</v>
      </c>
      <c r="B109" s="114">
        <f t="shared" si="116"/>
        <v>3</v>
      </c>
      <c r="C109" s="173">
        <f t="shared" si="117"/>
        <v>303</v>
      </c>
      <c r="D109" s="165"/>
      <c r="E109" s="114">
        <f t="shared" si="101"/>
        <v>0</v>
      </c>
      <c r="F109" s="174">
        <f t="shared" ref="F109:G109" si="152">F108+E109</f>
        <v>194</v>
      </c>
      <c r="G109" s="175">
        <f t="shared" si="152"/>
        <v>15076</v>
      </c>
      <c r="H109" s="165"/>
      <c r="I109" s="115">
        <f t="shared" si="103"/>
        <v>1.55</v>
      </c>
      <c r="J109" s="176">
        <f t="shared" si="104"/>
        <v>788114285562831</v>
      </c>
      <c r="K109" s="177">
        <f t="shared" si="123"/>
        <v>2221049350222527.3</v>
      </c>
      <c r="L109" s="165"/>
      <c r="M109" s="178">
        <f t="shared" si="105"/>
        <v>6.72977953117427E+18</v>
      </c>
      <c r="N109" s="228">
        <f t="shared" si="119"/>
        <v>224325984372475.66</v>
      </c>
      <c r="O109" s="178">
        <f t="shared" si="106"/>
        <v>2.22104935022253E+16</v>
      </c>
      <c r="P109" s="179">
        <f t="shared" si="120"/>
        <v>7.8342467989665403E+18</v>
      </c>
      <c r="Q109" s="180">
        <f t="shared" si="107"/>
        <v>261141559965551.34</v>
      </c>
      <c r="R109" s="166">
        <f t="shared" si="124"/>
        <v>353</v>
      </c>
      <c r="S109" s="181">
        <f t="shared" si="125"/>
        <v>0.02</v>
      </c>
      <c r="T109" s="182">
        <f t="shared" si="126"/>
        <v>656</v>
      </c>
      <c r="U109" s="183">
        <f t="shared" si="127"/>
        <v>0.04</v>
      </c>
      <c r="V109" s="165"/>
      <c r="W109" s="184">
        <f t="shared" si="108"/>
        <v>4.77969820167888E+17</v>
      </c>
      <c r="X109" s="185">
        <f t="shared" si="109"/>
        <v>8.3122166191344302E+18</v>
      </c>
      <c r="Y109" s="186">
        <f t="shared" si="110"/>
        <v>0.06</v>
      </c>
      <c r="Z109" s="186">
        <f t="shared" si="111"/>
        <v>15932327338929.6</v>
      </c>
      <c r="AA109" s="165"/>
      <c r="AB109" s="187">
        <f t="shared" si="112"/>
        <v>-8.3122166191344005E+18</v>
      </c>
      <c r="AC109" s="186">
        <f t="shared" si="113"/>
        <v>277073887304481</v>
      </c>
      <c r="AD109" s="188">
        <f t="shared" si="114"/>
        <v>0</v>
      </c>
      <c r="AE109" s="188">
        <f t="shared" si="115"/>
        <v>0</v>
      </c>
      <c r="AF109" s="189">
        <v>93</v>
      </c>
    </row>
    <row r="110" spans="1:32" s="10" customFormat="1" ht="15" customHeight="1" x14ac:dyDescent="0.2">
      <c r="A110" s="172">
        <v>94</v>
      </c>
      <c r="B110" s="114">
        <f t="shared" si="116"/>
        <v>3</v>
      </c>
      <c r="C110" s="173">
        <f t="shared" si="117"/>
        <v>306</v>
      </c>
      <c r="D110" s="165"/>
      <c r="E110" s="114">
        <f t="shared" si="101"/>
        <v>0</v>
      </c>
      <c r="F110" s="174">
        <f t="shared" ref="F110:G110" si="153">F109+E110</f>
        <v>194</v>
      </c>
      <c r="G110" s="175">
        <f t="shared" si="153"/>
        <v>15270</v>
      </c>
      <c r="H110" s="165"/>
      <c r="I110" s="115">
        <f t="shared" si="103"/>
        <v>1.55</v>
      </c>
      <c r="J110" s="176">
        <f t="shared" si="104"/>
        <v>1221577142622390</v>
      </c>
      <c r="K110" s="177">
        <f t="shared" si="123"/>
        <v>3442626492844917</v>
      </c>
      <c r="L110" s="165"/>
      <c r="M110" s="178">
        <f t="shared" si="105"/>
        <v>1.0534437068105501E+19</v>
      </c>
      <c r="N110" s="228">
        <f t="shared" si="119"/>
        <v>351147902270183.38</v>
      </c>
      <c r="O110" s="178">
        <f t="shared" si="106"/>
        <v>3.44262649284492E+16</v>
      </c>
      <c r="P110" s="179">
        <f t="shared" si="120"/>
        <v>1.21430825383982E+19</v>
      </c>
      <c r="Q110" s="180">
        <f t="shared" si="107"/>
        <v>404769417946606.69</v>
      </c>
      <c r="R110" s="166">
        <f t="shared" si="124"/>
        <v>353</v>
      </c>
      <c r="S110" s="181">
        <f t="shared" si="125"/>
        <v>0.02</v>
      </c>
      <c r="T110" s="182">
        <f t="shared" si="126"/>
        <v>659</v>
      </c>
      <c r="U110" s="183">
        <f t="shared" si="127"/>
        <v>0.04</v>
      </c>
      <c r="V110" s="165"/>
      <c r="W110" s="184">
        <f t="shared" si="108"/>
        <v>7.4085322126022605E+17</v>
      </c>
      <c r="X110" s="185">
        <f t="shared" si="109"/>
        <v>1.28839357596584E+19</v>
      </c>
      <c r="Y110" s="186">
        <f t="shared" si="110"/>
        <v>0.06</v>
      </c>
      <c r="Z110" s="186">
        <f t="shared" si="111"/>
        <v>24695107375340.898</v>
      </c>
      <c r="AA110" s="165"/>
      <c r="AB110" s="187">
        <f t="shared" si="112"/>
        <v>-1.28839357596584E+19</v>
      </c>
      <c r="AC110" s="186">
        <f t="shared" si="113"/>
        <v>429464525321947</v>
      </c>
      <c r="AD110" s="188">
        <f t="shared" si="114"/>
        <v>0</v>
      </c>
      <c r="AE110" s="188">
        <f t="shared" si="115"/>
        <v>0</v>
      </c>
      <c r="AF110" s="189">
        <v>94</v>
      </c>
    </row>
    <row r="111" spans="1:32" s="10" customFormat="1" ht="15" customHeight="1" x14ac:dyDescent="0.2">
      <c r="A111" s="172">
        <v>95</v>
      </c>
      <c r="B111" s="116">
        <f t="shared" si="116"/>
        <v>3</v>
      </c>
      <c r="C111" s="190">
        <f t="shared" si="117"/>
        <v>309</v>
      </c>
      <c r="D111" s="191"/>
      <c r="E111" s="116">
        <f t="shared" si="101"/>
        <v>0</v>
      </c>
      <c r="F111" s="190">
        <f t="shared" ref="F111:G111" si="154">F110+E111</f>
        <v>194</v>
      </c>
      <c r="G111" s="190">
        <f t="shared" si="154"/>
        <v>15464</v>
      </c>
      <c r="H111" s="191"/>
      <c r="I111" s="117">
        <f t="shared" si="103"/>
        <v>1.55</v>
      </c>
      <c r="J111" s="192">
        <f t="shared" si="104"/>
        <v>1893444571064700</v>
      </c>
      <c r="K111" s="192">
        <f t="shared" si="123"/>
        <v>5336071063909617</v>
      </c>
      <c r="L111" s="193"/>
      <c r="M111" s="194">
        <f t="shared" si="105"/>
        <v>1.6488459587480701E+19</v>
      </c>
      <c r="N111" s="229">
        <f t="shared" si="119"/>
        <v>549615319582690</v>
      </c>
      <c r="O111" s="194">
        <f t="shared" si="106"/>
        <v>5.33607106390962E+16</v>
      </c>
      <c r="P111" s="195">
        <f t="shared" si="120"/>
        <v>1.8821777934517301E+19</v>
      </c>
      <c r="Q111" s="196">
        <f t="shared" si="107"/>
        <v>627392597817243.38</v>
      </c>
      <c r="R111" s="197">
        <f t="shared" si="124"/>
        <v>353</v>
      </c>
      <c r="S111" s="198">
        <f t="shared" si="125"/>
        <v>0.02</v>
      </c>
      <c r="T111" s="199">
        <f t="shared" si="126"/>
        <v>662</v>
      </c>
      <c r="U111" s="198">
        <f t="shared" si="127"/>
        <v>0.04</v>
      </c>
      <c r="V111" s="200"/>
      <c r="W111" s="201">
        <f t="shared" si="108"/>
        <v>1.14832249295335E+18</v>
      </c>
      <c r="X111" s="202">
        <f t="shared" si="109"/>
        <v>1.9970100427470701E+19</v>
      </c>
      <c r="Y111" s="203">
        <f t="shared" si="110"/>
        <v>0.06</v>
      </c>
      <c r="Z111" s="203">
        <f t="shared" si="111"/>
        <v>38277416431778.297</v>
      </c>
      <c r="AA111" s="204"/>
      <c r="AB111" s="205">
        <f t="shared" si="112"/>
        <v>-1.9970100427470701E+19</v>
      </c>
      <c r="AC111" s="203">
        <f t="shared" si="113"/>
        <v>665670014249023</v>
      </c>
      <c r="AD111" s="206">
        <f t="shared" si="114"/>
        <v>0</v>
      </c>
      <c r="AE111" s="206">
        <f t="shared" si="115"/>
        <v>0</v>
      </c>
      <c r="AF111" s="189">
        <v>95</v>
      </c>
    </row>
    <row r="112" spans="1:32" s="10" customFormat="1" ht="15" customHeight="1" x14ac:dyDescent="0.2">
      <c r="A112" s="172">
        <v>96</v>
      </c>
      <c r="B112" s="114">
        <f t="shared" si="116"/>
        <v>3</v>
      </c>
      <c r="C112" s="173">
        <f t="shared" si="117"/>
        <v>312</v>
      </c>
      <c r="D112" s="165"/>
      <c r="E112" s="114">
        <f t="shared" si="101"/>
        <v>0</v>
      </c>
      <c r="F112" s="174">
        <f t="shared" ref="F112:G112" si="155">F111+E112</f>
        <v>194</v>
      </c>
      <c r="G112" s="175">
        <f t="shared" si="155"/>
        <v>15658</v>
      </c>
      <c r="H112" s="165"/>
      <c r="I112" s="115">
        <f t="shared" si="103"/>
        <v>1.55</v>
      </c>
      <c r="J112" s="176">
        <f t="shared" si="104"/>
        <v>2934839085150280</v>
      </c>
      <c r="K112" s="177">
        <f t="shared" si="123"/>
        <v>8270910149059897</v>
      </c>
      <c r="L112" s="165"/>
      <c r="M112" s="178">
        <f t="shared" si="105"/>
        <v>2.5805239665066902E+19</v>
      </c>
      <c r="N112" s="228">
        <f t="shared" si="119"/>
        <v>860174655502230</v>
      </c>
      <c r="O112" s="178">
        <f t="shared" si="106"/>
        <v>8.2709101490599008E+16</v>
      </c>
      <c r="P112" s="179">
        <f t="shared" si="120"/>
        <v>2.9173755798501999E+19</v>
      </c>
      <c r="Q112" s="180">
        <f t="shared" si="107"/>
        <v>972458526616733.25</v>
      </c>
      <c r="R112" s="166">
        <f t="shared" si="124"/>
        <v>353</v>
      </c>
      <c r="S112" s="181">
        <f t="shared" si="125"/>
        <v>0.02</v>
      </c>
      <c r="T112" s="182">
        <f t="shared" si="126"/>
        <v>665</v>
      </c>
      <c r="U112" s="183">
        <f t="shared" si="127"/>
        <v>0.04</v>
      </c>
      <c r="V112" s="165"/>
      <c r="W112" s="184">
        <f t="shared" si="108"/>
        <v>1.7798998640776901E+18</v>
      </c>
      <c r="X112" s="185">
        <f t="shared" si="109"/>
        <v>3.09536556625797E+19</v>
      </c>
      <c r="Y112" s="186">
        <f t="shared" si="110"/>
        <v>0.06</v>
      </c>
      <c r="Z112" s="186">
        <f t="shared" si="111"/>
        <v>59329995469256.297</v>
      </c>
      <c r="AA112" s="165"/>
      <c r="AB112" s="187">
        <f t="shared" si="112"/>
        <v>-3.09536556625797E+19</v>
      </c>
      <c r="AC112" s="186">
        <f t="shared" si="113"/>
        <v>1031788522085990</v>
      </c>
      <c r="AD112" s="188">
        <f t="shared" si="114"/>
        <v>0</v>
      </c>
      <c r="AE112" s="188">
        <f t="shared" si="115"/>
        <v>0</v>
      </c>
      <c r="AF112" s="189">
        <v>96</v>
      </c>
    </row>
    <row r="113" spans="1:32" s="10" customFormat="1" ht="15" customHeight="1" x14ac:dyDescent="0.2">
      <c r="A113" s="172">
        <v>97</v>
      </c>
      <c r="B113" s="114">
        <f t="shared" si="116"/>
        <v>3</v>
      </c>
      <c r="C113" s="173">
        <f t="shared" si="117"/>
        <v>315</v>
      </c>
      <c r="D113" s="165"/>
      <c r="E113" s="114">
        <f t="shared" si="101"/>
        <v>0</v>
      </c>
      <c r="F113" s="174">
        <f t="shared" ref="F113:G113" si="156">F112+E113</f>
        <v>194</v>
      </c>
      <c r="G113" s="175">
        <f t="shared" si="156"/>
        <v>15852</v>
      </c>
      <c r="H113" s="165"/>
      <c r="I113" s="115">
        <f t="shared" si="103"/>
        <v>1.55</v>
      </c>
      <c r="J113" s="176">
        <f t="shared" ref="J113:J116" si="157">IF($A113&lt;K$5, K$3, IF(K$2=0,IF(K$14&gt;0,IF(K$3*K$14&lt;ROUND(J112*I113, 3),K$3*K$14,ROUND(J112*I113, 3)),ROUND(J112*I113, 3)),IF(K$14&gt;0,IF(K$3*K$14&lt;ROUND(K$3*I113, 3),K$3*K$14,ROUND(K$3*I113, 3)),ROUND(K$3*I113, 3))))</f>
        <v>4549000581982930</v>
      </c>
      <c r="K113" s="177">
        <f t="shared" si="123"/>
        <v>1.2819910731042828E+16</v>
      </c>
      <c r="L113" s="165"/>
      <c r="M113" s="178">
        <f t="shared" si="105"/>
        <v>4.0382718802784797E+19</v>
      </c>
      <c r="N113" s="228">
        <f t="shared" si="119"/>
        <v>1346090626759493.3</v>
      </c>
      <c r="O113" s="178">
        <f t="shared" si="106"/>
        <v>1.28199107310428E+17</v>
      </c>
      <c r="P113" s="179">
        <f t="shared" si="120"/>
        <v>4.5219321487678202E+19</v>
      </c>
      <c r="Q113" s="180">
        <f t="shared" ref="Q113:Q116" si="158">P113/$P$10</f>
        <v>1507310716255940</v>
      </c>
      <c r="R113" s="166">
        <f t="shared" si="124"/>
        <v>353</v>
      </c>
      <c r="S113" s="181">
        <f t="shared" si="125"/>
        <v>0.02</v>
      </c>
      <c r="T113" s="182">
        <f t="shared" si="126"/>
        <v>668</v>
      </c>
      <c r="U113" s="183">
        <f t="shared" si="127"/>
        <v>0.04</v>
      </c>
      <c r="V113" s="165"/>
      <c r="W113" s="184">
        <f t="shared" si="108"/>
        <v>2.7588447893204198E+18</v>
      </c>
      <c r="X113" s="185">
        <f t="shared" ref="X113:X116" si="159">ROUND(P113+W113,2)</f>
        <v>4.7978166276998603E+19</v>
      </c>
      <c r="Y113" s="186">
        <f t="shared" si="110"/>
        <v>0.06</v>
      </c>
      <c r="Z113" s="186">
        <f t="shared" si="111"/>
        <v>91961492977347.297</v>
      </c>
      <c r="AA113" s="165"/>
      <c r="AB113" s="187">
        <f t="shared" si="112"/>
        <v>-4.7978166276998603E+19</v>
      </c>
      <c r="AC113" s="186">
        <f t="shared" si="113"/>
        <v>1599272209233290</v>
      </c>
      <c r="AD113" s="188">
        <f t="shared" si="114"/>
        <v>0</v>
      </c>
      <c r="AE113" s="188">
        <f t="shared" ref="AE113:AE116" si="160">IF(AD113&gt;0,AD113+G113,0)</f>
        <v>0</v>
      </c>
      <c r="AF113" s="189">
        <v>97</v>
      </c>
    </row>
    <row r="114" spans="1:32" s="10" customFormat="1" ht="15" customHeight="1" x14ac:dyDescent="0.2">
      <c r="A114" s="172">
        <v>98</v>
      </c>
      <c r="B114" s="114">
        <f t="shared" ref="B114:B116" si="161">IF(AND($A114&gt;=C$13,C$13&gt;0),0,IF(AND($A114&gt;=C$10,C$10&gt;0),C$11,IF(AND($A114&gt;=C$7,C$7&gt;0),C$8,0)))</f>
        <v>3</v>
      </c>
      <c r="C114" s="173">
        <f t="shared" ref="C114:C116" si="162">IF(AND($A114&gt;=C$13,C$13&gt;0),C$14,C113+B114)</f>
        <v>318</v>
      </c>
      <c r="D114" s="165"/>
      <c r="E114" s="114">
        <f t="shared" si="101"/>
        <v>0</v>
      </c>
      <c r="F114" s="174">
        <f t="shared" ref="F114:G114" si="163">F113+E114</f>
        <v>194</v>
      </c>
      <c r="G114" s="175">
        <f t="shared" si="163"/>
        <v>16046</v>
      </c>
      <c r="H114" s="165"/>
      <c r="I114" s="115">
        <f t="shared" si="103"/>
        <v>1.55</v>
      </c>
      <c r="J114" s="176">
        <f t="shared" si="157"/>
        <v>7050950902073540</v>
      </c>
      <c r="K114" s="177">
        <f t="shared" si="123"/>
        <v>1.9870861633116368E+16</v>
      </c>
      <c r="L114" s="165"/>
      <c r="M114" s="178">
        <f t="shared" si="105"/>
        <v>6.31893399933102E+19</v>
      </c>
      <c r="N114" s="228">
        <f t="shared" si="119"/>
        <v>2106311333110340</v>
      </c>
      <c r="O114" s="178">
        <f t="shared" si="106"/>
        <v>1.98708616331164E+17</v>
      </c>
      <c r="P114" s="179">
        <f t="shared" si="120"/>
        <v>7.0089948305901199E+19</v>
      </c>
      <c r="Q114" s="180">
        <f t="shared" si="158"/>
        <v>2336331610196706.5</v>
      </c>
      <c r="R114" s="166">
        <f t="shared" si="124"/>
        <v>353</v>
      </c>
      <c r="S114" s="181">
        <f t="shared" si="125"/>
        <v>0.02</v>
      </c>
      <c r="T114" s="182">
        <f t="shared" si="126"/>
        <v>671</v>
      </c>
      <c r="U114" s="183">
        <f t="shared" si="127"/>
        <v>0.04</v>
      </c>
      <c r="V114" s="165"/>
      <c r="W114" s="184">
        <f t="shared" si="108"/>
        <v>4.2762094234466401E+18</v>
      </c>
      <c r="X114" s="185">
        <f t="shared" si="159"/>
        <v>7.4366157729347797E+19</v>
      </c>
      <c r="Y114" s="186">
        <f t="shared" si="110"/>
        <v>0.06</v>
      </c>
      <c r="Z114" s="186">
        <f t="shared" si="111"/>
        <v>142540314114888</v>
      </c>
      <c r="AA114" s="165"/>
      <c r="AB114" s="187">
        <f t="shared" si="112"/>
        <v>-7.4366157729347797E+19</v>
      </c>
      <c r="AC114" s="186">
        <f t="shared" si="113"/>
        <v>2478871924311590</v>
      </c>
      <c r="AD114" s="188">
        <f t="shared" si="114"/>
        <v>0</v>
      </c>
      <c r="AE114" s="188">
        <f t="shared" si="160"/>
        <v>0</v>
      </c>
      <c r="AF114" s="189">
        <v>98</v>
      </c>
    </row>
    <row r="115" spans="1:32" s="10" customFormat="1" ht="15" customHeight="1" x14ac:dyDescent="0.2">
      <c r="A115" s="172">
        <v>99</v>
      </c>
      <c r="B115" s="114">
        <f t="shared" si="161"/>
        <v>3</v>
      </c>
      <c r="C115" s="173">
        <f t="shared" si="162"/>
        <v>321</v>
      </c>
      <c r="D115" s="165"/>
      <c r="E115" s="114">
        <f t="shared" si="101"/>
        <v>0</v>
      </c>
      <c r="F115" s="174">
        <f t="shared" ref="F115:G115" si="164">F114+E115</f>
        <v>194</v>
      </c>
      <c r="G115" s="175">
        <f t="shared" si="164"/>
        <v>16240</v>
      </c>
      <c r="H115" s="165"/>
      <c r="I115" s="115">
        <f t="shared" si="103"/>
        <v>1.55</v>
      </c>
      <c r="J115" s="176">
        <f t="shared" si="157"/>
        <v>1.0928973898214E+16</v>
      </c>
      <c r="K115" s="177">
        <f t="shared" si="123"/>
        <v>3.0799835531330368E+16</v>
      </c>
      <c r="L115" s="165"/>
      <c r="M115" s="178">
        <f t="shared" si="105"/>
        <v>9.8867472055570596E+19</v>
      </c>
      <c r="N115" s="228">
        <f t="shared" si="119"/>
        <v>3295582401852353</v>
      </c>
      <c r="O115" s="178">
        <f t="shared" si="106"/>
        <v>3.07998355313304E+17</v>
      </c>
      <c r="P115" s="179">
        <f t="shared" si="120"/>
        <v>1.0863941987414699E+20</v>
      </c>
      <c r="Q115" s="180">
        <f t="shared" si="158"/>
        <v>3621313995804899.5</v>
      </c>
      <c r="R115" s="166">
        <f t="shared" si="124"/>
        <v>353</v>
      </c>
      <c r="S115" s="181">
        <f t="shared" si="125"/>
        <v>0.02</v>
      </c>
      <c r="T115" s="182">
        <f t="shared" si="126"/>
        <v>674</v>
      </c>
      <c r="U115" s="183">
        <f t="shared" si="127"/>
        <v>0.04</v>
      </c>
      <c r="V115" s="165"/>
      <c r="W115" s="184">
        <f t="shared" si="108"/>
        <v>6.6281246063422904E+18</v>
      </c>
      <c r="X115" s="185">
        <f t="shared" si="159"/>
        <v>1.15267544480489E+20</v>
      </c>
      <c r="Y115" s="186">
        <f t="shared" si="110"/>
        <v>0.06</v>
      </c>
      <c r="Z115" s="186">
        <f t="shared" si="111"/>
        <v>220937486878076</v>
      </c>
      <c r="AA115" s="165"/>
      <c r="AB115" s="187">
        <f t="shared" si="112"/>
        <v>-1.15267544480489E+20</v>
      </c>
      <c r="AC115" s="186">
        <f t="shared" si="113"/>
        <v>3842251482682970</v>
      </c>
      <c r="AD115" s="188">
        <f t="shared" si="114"/>
        <v>0</v>
      </c>
      <c r="AE115" s="188">
        <f t="shared" si="160"/>
        <v>0</v>
      </c>
      <c r="AF115" s="189">
        <v>99</v>
      </c>
    </row>
    <row r="116" spans="1:32" s="10" customFormat="1" ht="15" customHeight="1" thickBot="1" x14ac:dyDescent="0.25">
      <c r="A116" s="209">
        <v>100</v>
      </c>
      <c r="B116" s="157">
        <f t="shared" si="161"/>
        <v>3</v>
      </c>
      <c r="C116" s="210">
        <f t="shared" si="162"/>
        <v>324</v>
      </c>
      <c r="D116" s="211"/>
      <c r="E116" s="157">
        <f t="shared" si="101"/>
        <v>0</v>
      </c>
      <c r="F116" s="210">
        <f t="shared" ref="F116:G116" si="165">F115+E116</f>
        <v>194</v>
      </c>
      <c r="G116" s="210">
        <f t="shared" si="165"/>
        <v>16434</v>
      </c>
      <c r="H116" s="211"/>
      <c r="I116" s="158">
        <f t="shared" si="103"/>
        <v>1.55</v>
      </c>
      <c r="J116" s="212">
        <f t="shared" si="157"/>
        <v>1.69399095422317E+16</v>
      </c>
      <c r="K116" s="212">
        <f t="shared" si="123"/>
        <v>4.7739745073562064E+16</v>
      </c>
      <c r="L116" s="213"/>
      <c r="M116" s="214">
        <f t="shared" si="105"/>
        <v>1.5467677403834099E+20</v>
      </c>
      <c r="N116" s="230">
        <f t="shared" si="119"/>
        <v>5155892467944700</v>
      </c>
      <c r="O116" s="214">
        <f t="shared" si="106"/>
        <v>4.7739745073562099E+17</v>
      </c>
      <c r="P116" s="215">
        <f t="shared" si="120"/>
        <v>1.6839110080492801E+20</v>
      </c>
      <c r="Q116" s="216">
        <f t="shared" si="158"/>
        <v>5613036693497600</v>
      </c>
      <c r="R116" s="217">
        <f t="shared" si="124"/>
        <v>353</v>
      </c>
      <c r="S116" s="218">
        <f t="shared" si="125"/>
        <v>0.02</v>
      </c>
      <c r="T116" s="219">
        <f t="shared" si="126"/>
        <v>677</v>
      </c>
      <c r="U116" s="218">
        <f t="shared" si="127"/>
        <v>0.04</v>
      </c>
      <c r="V116" s="220"/>
      <c r="W116" s="221">
        <f t="shared" si="108"/>
        <v>1.02735931398306E+19</v>
      </c>
      <c r="X116" s="222">
        <f t="shared" si="159"/>
        <v>1.7866469394475899E+20</v>
      </c>
      <c r="Y116" s="223">
        <f t="shared" si="110"/>
        <v>0.06</v>
      </c>
      <c r="Z116" s="223">
        <f t="shared" si="111"/>
        <v>342453104661020</v>
      </c>
      <c r="AA116" s="224"/>
      <c r="AB116" s="225">
        <f t="shared" si="112"/>
        <v>-1.7866469394475899E+20</v>
      </c>
      <c r="AC116" s="223">
        <f t="shared" si="113"/>
        <v>5955489798158630</v>
      </c>
      <c r="AD116" s="226">
        <f t="shared" si="114"/>
        <v>0</v>
      </c>
      <c r="AE116" s="226">
        <f t="shared" si="160"/>
        <v>0</v>
      </c>
      <c r="AF116" s="227">
        <v>100</v>
      </c>
    </row>
    <row r="117" spans="1:32" ht="15" customHeight="1" x14ac:dyDescent="0.2"/>
    <row r="118" spans="1:32" ht="15" customHeight="1" x14ac:dyDescent="0.2">
      <c r="AB118" s="63"/>
      <c r="AC118" s="63"/>
    </row>
    <row r="119" spans="1:32" ht="15" customHeight="1" thickBot="1" x14ac:dyDescent="0.25"/>
    <row r="120" spans="1:32" ht="39" customHeight="1" thickBot="1" x14ac:dyDescent="0.25">
      <c r="B120" s="155">
        <v>1</v>
      </c>
      <c r="F120" s="155">
        <v>2</v>
      </c>
      <c r="J120" s="155">
        <v>3</v>
      </c>
      <c r="Q120" s="155">
        <v>4</v>
      </c>
      <c r="X120" s="155">
        <v>5</v>
      </c>
      <c r="AD120" s="155">
        <v>6</v>
      </c>
    </row>
    <row r="121" spans="1:32" ht="12.75" customHeight="1" x14ac:dyDescent="0.2"/>
    <row r="122" spans="1:32" ht="12.75" customHeight="1" x14ac:dyDescent="0.2"/>
  </sheetData>
  <protectedRanges>
    <protectedRange sqref="C3:C5" name="Диапазон1_3_1"/>
    <protectedRange sqref="G3:G5" name="Диапазон1_1_1_1"/>
  </protectedRanges>
  <mergeCells count="10">
    <mergeCell ref="M15:N15"/>
    <mergeCell ref="P15:Q15"/>
    <mergeCell ref="R15:S15"/>
    <mergeCell ref="T15:U15"/>
    <mergeCell ref="AD15:AE15"/>
    <mergeCell ref="A1:K1"/>
    <mergeCell ref="M1:P1"/>
    <mergeCell ref="Q1:U1"/>
    <mergeCell ref="W1:AF1"/>
    <mergeCell ref="AH7:AH9"/>
  </mergeCells>
  <phoneticPr fontId="2" type="noConversion"/>
  <conditionalFormatting sqref="AB17:AB20 AB22:AB25 AB27:AB30 AB32:AB35 AB37:AB40 AB42:AB45 AB47:AB50 AB52:AB55 AB57:AB60 AB62:AB65 AB67:AB70 AB72:AB75 AB77:AB80 AB82:AB85 AB87:AB90 AB92:AB95 AB97:AB100 AB102:AB105 AB107:AB110 AB112:AB115">
    <cfRule type="cellIs" dxfId="103" priority="132" operator="lessThan">
      <formula>0</formula>
    </cfRule>
    <cfRule type="cellIs" dxfId="102" priority="133" operator="greaterThan">
      <formula>0</formula>
    </cfRule>
  </conditionalFormatting>
  <conditionalFormatting sqref="AB2">
    <cfRule type="colorScale" priority="9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AB8">
    <cfRule type="colorScale" priority="9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B3">
    <cfRule type="colorScale" priority="96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4">
    <cfRule type="colorScale" priority="95">
      <colorScale>
        <cfvo type="num" val="0.3"/>
        <cfvo type="num" val="0.4"/>
        <cfvo type="num" val="0.5"/>
        <color rgb="FF63BE7B"/>
        <color rgb="FFFFEB84"/>
        <color rgb="FFF8696B"/>
      </colorScale>
    </cfRule>
  </conditionalFormatting>
  <conditionalFormatting sqref="AB5">
    <cfRule type="colorScale" priority="94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6:AB7">
    <cfRule type="colorScale" priority="93">
      <colorScale>
        <cfvo type="num" val="0.2"/>
        <cfvo type="num" val="0.3"/>
        <cfvo type="num" val="0.4"/>
        <color rgb="FF63BE7B"/>
        <color rgb="FFFFEB84"/>
        <color rgb="FFF8696B"/>
      </colorScale>
    </cfRule>
  </conditionalFormatting>
  <conditionalFormatting sqref="AC13">
    <cfRule type="colorScale" priority="92">
      <colorScale>
        <cfvo type="num" val="0.2"/>
        <cfvo type="num" val="0.3"/>
        <cfvo type="num" val="0.4"/>
        <color rgb="FFF8696B"/>
        <color rgb="FFFFEB84"/>
        <color rgb="FF63BE7B"/>
      </colorScale>
    </cfRule>
  </conditionalFormatting>
  <conditionalFormatting sqref="P10">
    <cfRule type="colorScale" priority="91">
      <colorScale>
        <cfvo type="num" val="0"/>
        <cfvo type="num" val="5000"/>
        <cfvo type="num" val="10000"/>
        <color rgb="FFF8696B"/>
        <color rgb="FFFFEB84"/>
        <color rgb="FF63BE7B"/>
      </colorScale>
    </cfRule>
  </conditionalFormatting>
  <conditionalFormatting sqref="F16">
    <cfRule type="expression" dxfId="101" priority="90">
      <formula>F16&gt;0</formula>
    </cfRule>
  </conditionalFormatting>
  <conditionalFormatting sqref="I16">
    <cfRule type="expression" dxfId="100" priority="89">
      <formula>I16&gt;0</formula>
    </cfRule>
  </conditionalFormatting>
  <conditionalFormatting sqref="M16:N16">
    <cfRule type="expression" dxfId="99" priority="88">
      <formula>M16&gt;0</formula>
    </cfRule>
  </conditionalFormatting>
  <conditionalFormatting sqref="W16:Z16">
    <cfRule type="expression" dxfId="98" priority="86">
      <formula>W16&gt;0</formula>
    </cfRule>
  </conditionalFormatting>
  <conditionalFormatting sqref="G16">
    <cfRule type="expression" dxfId="97" priority="85">
      <formula>G16&gt;0</formula>
    </cfRule>
  </conditionalFormatting>
  <conditionalFormatting sqref="J16">
    <cfRule type="expression" dxfId="96" priority="84">
      <formula>J16&gt;0</formula>
    </cfRule>
  </conditionalFormatting>
  <conditionalFormatting sqref="K16">
    <cfRule type="expression" dxfId="95" priority="83">
      <formula>K16&gt;0</formula>
    </cfRule>
  </conditionalFormatting>
  <conditionalFormatting sqref="O16">
    <cfRule type="expression" dxfId="94" priority="81">
      <formula>O16&gt;0</formula>
    </cfRule>
  </conditionalFormatting>
  <conditionalFormatting sqref="AB21">
    <cfRule type="cellIs" dxfId="93" priority="79" operator="lessThan">
      <formula>0</formula>
    </cfRule>
    <cfRule type="cellIs" dxfId="92" priority="80" operator="greaterThan">
      <formula>0</formula>
    </cfRule>
  </conditionalFormatting>
  <conditionalFormatting sqref="AB21">
    <cfRule type="cellIs" dxfId="91" priority="77" operator="lessThan">
      <formula>0</formula>
    </cfRule>
    <cfRule type="cellIs" dxfId="90" priority="78" operator="greaterThan">
      <formula>0</formula>
    </cfRule>
  </conditionalFormatting>
  <conditionalFormatting sqref="AB26">
    <cfRule type="cellIs" dxfId="89" priority="75" operator="lessThan">
      <formula>0</formula>
    </cfRule>
    <cfRule type="cellIs" dxfId="88" priority="76" operator="greaterThan">
      <formula>0</formula>
    </cfRule>
  </conditionalFormatting>
  <conditionalFormatting sqref="AB26">
    <cfRule type="cellIs" dxfId="87" priority="73" operator="lessThan">
      <formula>0</formula>
    </cfRule>
    <cfRule type="cellIs" dxfId="86" priority="74" operator="greaterThan">
      <formula>0</formula>
    </cfRule>
  </conditionalFormatting>
  <conditionalFormatting sqref="AB31">
    <cfRule type="cellIs" dxfId="85" priority="71" operator="lessThan">
      <formula>0</formula>
    </cfRule>
    <cfRule type="cellIs" dxfId="84" priority="72" operator="greaterThan">
      <formula>0</formula>
    </cfRule>
  </conditionalFormatting>
  <conditionalFormatting sqref="AB31">
    <cfRule type="cellIs" dxfId="83" priority="69" operator="lessThan">
      <formula>0</formula>
    </cfRule>
    <cfRule type="cellIs" dxfId="82" priority="70" operator="greaterThan">
      <formula>0</formula>
    </cfRule>
  </conditionalFormatting>
  <conditionalFormatting sqref="AB36">
    <cfRule type="cellIs" dxfId="81" priority="67" operator="lessThan">
      <formula>0</formula>
    </cfRule>
    <cfRule type="cellIs" dxfId="80" priority="68" operator="greaterThan">
      <formula>0</formula>
    </cfRule>
  </conditionalFormatting>
  <conditionalFormatting sqref="AB36">
    <cfRule type="cellIs" dxfId="79" priority="65" operator="lessThan">
      <formula>0</formula>
    </cfRule>
    <cfRule type="cellIs" dxfId="78" priority="66" operator="greaterThan">
      <formula>0</formula>
    </cfRule>
  </conditionalFormatting>
  <conditionalFormatting sqref="AB41">
    <cfRule type="cellIs" dxfId="77" priority="63" operator="lessThan">
      <formula>0</formula>
    </cfRule>
    <cfRule type="cellIs" dxfId="76" priority="64" operator="greaterThan">
      <formula>0</formula>
    </cfRule>
  </conditionalFormatting>
  <conditionalFormatting sqref="AB41">
    <cfRule type="cellIs" dxfId="75" priority="61" operator="lessThan">
      <formula>0</formula>
    </cfRule>
    <cfRule type="cellIs" dxfId="74" priority="62" operator="greaterThan">
      <formula>0</formula>
    </cfRule>
  </conditionalFormatting>
  <conditionalFormatting sqref="AB46">
    <cfRule type="cellIs" dxfId="73" priority="59" operator="lessThan">
      <formula>0</formula>
    </cfRule>
    <cfRule type="cellIs" dxfId="72" priority="60" operator="greaterThan">
      <formula>0</formula>
    </cfRule>
  </conditionalFormatting>
  <conditionalFormatting sqref="AB46">
    <cfRule type="cellIs" dxfId="71" priority="57" operator="lessThan">
      <formula>0</formula>
    </cfRule>
    <cfRule type="cellIs" dxfId="70" priority="58" operator="greaterThan">
      <formula>0</formula>
    </cfRule>
  </conditionalFormatting>
  <conditionalFormatting sqref="AB51">
    <cfRule type="cellIs" dxfId="69" priority="55" operator="lessThan">
      <formula>0</formula>
    </cfRule>
    <cfRule type="cellIs" dxfId="68" priority="56" operator="greaterThan">
      <formula>0</formula>
    </cfRule>
  </conditionalFormatting>
  <conditionalFormatting sqref="AB51">
    <cfRule type="cellIs" dxfId="67" priority="53" operator="lessThan">
      <formula>0</formula>
    </cfRule>
    <cfRule type="cellIs" dxfId="66" priority="54" operator="greaterThan">
      <formula>0</formula>
    </cfRule>
  </conditionalFormatting>
  <conditionalFormatting sqref="AB56">
    <cfRule type="cellIs" dxfId="65" priority="51" operator="lessThan">
      <formula>0</formula>
    </cfRule>
    <cfRule type="cellIs" dxfId="64" priority="52" operator="greaterThan">
      <formula>0</formula>
    </cfRule>
  </conditionalFormatting>
  <conditionalFormatting sqref="AB56">
    <cfRule type="cellIs" dxfId="63" priority="49" operator="lessThan">
      <formula>0</formula>
    </cfRule>
    <cfRule type="cellIs" dxfId="62" priority="50" operator="greaterThan">
      <formula>0</formula>
    </cfRule>
  </conditionalFormatting>
  <conditionalFormatting sqref="AB61">
    <cfRule type="cellIs" dxfId="61" priority="47" operator="lessThan">
      <formula>0</formula>
    </cfRule>
    <cfRule type="cellIs" dxfId="60" priority="48" operator="greaterThan">
      <formula>0</formula>
    </cfRule>
  </conditionalFormatting>
  <conditionalFormatting sqref="AB61">
    <cfRule type="cellIs" dxfId="59" priority="45" operator="lessThan">
      <formula>0</formula>
    </cfRule>
    <cfRule type="cellIs" dxfId="58" priority="46" operator="greaterThan">
      <formula>0</formula>
    </cfRule>
  </conditionalFormatting>
  <conditionalFormatting sqref="AB66">
    <cfRule type="cellIs" dxfId="57" priority="43" operator="lessThan">
      <formula>0</formula>
    </cfRule>
    <cfRule type="cellIs" dxfId="56" priority="44" operator="greaterThan">
      <formula>0</formula>
    </cfRule>
  </conditionalFormatting>
  <conditionalFormatting sqref="AB66">
    <cfRule type="cellIs" dxfId="55" priority="41" operator="lessThan">
      <formula>0</formula>
    </cfRule>
    <cfRule type="cellIs" dxfId="54" priority="42" operator="greaterThan">
      <formula>0</formula>
    </cfRule>
  </conditionalFormatting>
  <conditionalFormatting sqref="AB71">
    <cfRule type="cellIs" dxfId="53" priority="39" operator="lessThan">
      <formula>0</formula>
    </cfRule>
    <cfRule type="cellIs" dxfId="52" priority="40" operator="greaterThan">
      <formula>0</formula>
    </cfRule>
  </conditionalFormatting>
  <conditionalFormatting sqref="AB71">
    <cfRule type="cellIs" dxfId="51" priority="37" operator="lessThan">
      <formula>0</formula>
    </cfRule>
    <cfRule type="cellIs" dxfId="50" priority="38" operator="greaterThan">
      <formula>0</formula>
    </cfRule>
  </conditionalFormatting>
  <conditionalFormatting sqref="AB76">
    <cfRule type="cellIs" dxfId="49" priority="35" operator="lessThan">
      <formula>0</formula>
    </cfRule>
    <cfRule type="cellIs" dxfId="48" priority="36" operator="greaterThan">
      <formula>0</formula>
    </cfRule>
  </conditionalFormatting>
  <conditionalFormatting sqref="AB76">
    <cfRule type="cellIs" dxfId="47" priority="33" operator="lessThan">
      <formula>0</formula>
    </cfRule>
    <cfRule type="cellIs" dxfId="46" priority="34" operator="greaterThan">
      <formula>0</formula>
    </cfRule>
  </conditionalFormatting>
  <conditionalFormatting sqref="AB81">
    <cfRule type="cellIs" dxfId="45" priority="31" operator="lessThan">
      <formula>0</formula>
    </cfRule>
    <cfRule type="cellIs" dxfId="44" priority="32" operator="greaterThan">
      <formula>0</formula>
    </cfRule>
  </conditionalFormatting>
  <conditionalFormatting sqref="AB81">
    <cfRule type="cellIs" dxfId="43" priority="29" operator="lessThan">
      <formula>0</formula>
    </cfRule>
    <cfRule type="cellIs" dxfId="42" priority="30" operator="greaterThan">
      <formula>0</formula>
    </cfRule>
  </conditionalFormatting>
  <conditionalFormatting sqref="AB86">
    <cfRule type="cellIs" dxfId="41" priority="27" operator="lessThan">
      <formula>0</formula>
    </cfRule>
    <cfRule type="cellIs" dxfId="40" priority="28" operator="greaterThan">
      <formula>0</formula>
    </cfRule>
  </conditionalFormatting>
  <conditionalFormatting sqref="AB86">
    <cfRule type="cellIs" dxfId="39" priority="25" operator="lessThan">
      <formula>0</formula>
    </cfRule>
    <cfRule type="cellIs" dxfId="38" priority="26" operator="greaterThan">
      <formula>0</formula>
    </cfRule>
  </conditionalFormatting>
  <conditionalFormatting sqref="AB91">
    <cfRule type="cellIs" dxfId="37" priority="23" operator="lessThan">
      <formula>0</formula>
    </cfRule>
    <cfRule type="cellIs" dxfId="36" priority="24" operator="greaterThan">
      <formula>0</formula>
    </cfRule>
  </conditionalFormatting>
  <conditionalFormatting sqref="AB91">
    <cfRule type="cellIs" dxfId="35" priority="21" operator="lessThan">
      <formula>0</formula>
    </cfRule>
    <cfRule type="cellIs" dxfId="34" priority="22" operator="greaterThan">
      <formula>0</formula>
    </cfRule>
  </conditionalFormatting>
  <conditionalFormatting sqref="AB96">
    <cfRule type="cellIs" dxfId="33" priority="19" operator="lessThan">
      <formula>0</formula>
    </cfRule>
    <cfRule type="cellIs" dxfId="32" priority="20" operator="greaterThan">
      <formula>0</formula>
    </cfRule>
  </conditionalFormatting>
  <conditionalFormatting sqref="AB96">
    <cfRule type="cellIs" dxfId="31" priority="17" operator="lessThan">
      <formula>0</formula>
    </cfRule>
    <cfRule type="cellIs" dxfId="30" priority="18" operator="greaterThan">
      <formula>0</formula>
    </cfRule>
  </conditionalFormatting>
  <conditionalFormatting sqref="AB101">
    <cfRule type="cellIs" dxfId="29" priority="15" operator="lessThan">
      <formula>0</formula>
    </cfRule>
    <cfRule type="cellIs" dxfId="28" priority="16" operator="greaterThan">
      <formula>0</formula>
    </cfRule>
  </conditionalFormatting>
  <conditionalFormatting sqref="AB101">
    <cfRule type="cellIs" dxfId="27" priority="13" operator="lessThan">
      <formula>0</formula>
    </cfRule>
    <cfRule type="cellIs" dxfId="26" priority="14" operator="greaterThan">
      <formula>0</formula>
    </cfRule>
  </conditionalFormatting>
  <conditionalFormatting sqref="AB106">
    <cfRule type="cellIs" dxfId="25" priority="11" operator="lessThan">
      <formula>0</formula>
    </cfRule>
    <cfRule type="cellIs" dxfId="24" priority="12" operator="greaterThan">
      <formula>0</formula>
    </cfRule>
  </conditionalFormatting>
  <conditionalFormatting sqref="AB106">
    <cfRule type="cellIs" dxfId="23" priority="9" operator="lessThan">
      <formula>0</formula>
    </cfRule>
    <cfRule type="cellIs" dxfId="22" priority="10" operator="greaterThan">
      <formula>0</formula>
    </cfRule>
  </conditionalFormatting>
  <conditionalFormatting sqref="AB111">
    <cfRule type="cellIs" dxfId="21" priority="7" operator="lessThan">
      <formula>0</formula>
    </cfRule>
    <cfRule type="cellIs" dxfId="20" priority="8" operator="greaterThan">
      <formula>0</formula>
    </cfRule>
  </conditionalFormatting>
  <conditionalFormatting sqref="AB111">
    <cfRule type="cellIs" dxfId="19" priority="5" operator="lessThan">
      <formula>0</formula>
    </cfRule>
    <cfRule type="cellIs" dxfId="18" priority="6" operator="greaterThan">
      <formula>0</formula>
    </cfRule>
  </conditionalFormatting>
  <conditionalFormatting sqref="AB116">
    <cfRule type="cellIs" dxfId="17" priority="3" operator="lessThan">
      <formula>0</formula>
    </cfRule>
    <cfRule type="cellIs" dxfId="16" priority="4" operator="greaterThan">
      <formula>0</formula>
    </cfRule>
  </conditionalFormatting>
  <conditionalFormatting sqref="AB116">
    <cfRule type="cellIs" dxfId="15" priority="1" operator="lessThan">
      <formula>0</formula>
    </cfRule>
    <cfRule type="cellIs" dxfId="14" priority="2" operator="greaterThan">
      <formula>0</formula>
    </cfRule>
  </conditionalFormatting>
  <dataValidations count="2">
    <dataValidation type="list" allowBlank="1" showInputMessage="1" showErrorMessage="1" sqref="K2">
      <formula1>"0,1"</formula1>
    </dataValidation>
    <dataValidation type="list" allowBlank="1" showInputMessage="1" showErrorMessage="1" sqref="P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51" r:id="rId4" name="Spinner 227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9525</xdr:rowOff>
                  </from>
                  <to>
                    <xdr:col>3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" name="Spinner 228">
              <controlPr defaultSize="0" autoPict="0">
                <anchor moveWithCells="1" sizeWithCells="1">
                  <from>
                    <xdr:col>3</xdr:col>
                    <xdr:colOff>0</xdr:colOff>
                    <xdr:row>9</xdr:row>
                    <xdr:rowOff>9525</xdr:rowOff>
                  </from>
                  <to>
                    <xdr:col>4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6" name="Spinner 229">
              <controlPr defaultSize="0" autoPict="0">
                <anchor moveWithCells="1" sizeWithCells="1">
                  <from>
                    <xdr:col>3</xdr:col>
                    <xdr:colOff>0</xdr:colOff>
                    <xdr:row>2</xdr:row>
                    <xdr:rowOff>9525</xdr:rowOff>
                  </from>
                  <to>
                    <xdr:col>4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" name="Spinner 230">
              <controlPr defaultSize="0" autoPict="0">
                <anchor moveWithCells="1" sizeWithCells="1">
                  <from>
                    <xdr:col>7</xdr:col>
                    <xdr:colOff>0</xdr:colOff>
                    <xdr:row>2</xdr:row>
                    <xdr:rowOff>19050</xdr:rowOff>
                  </from>
                  <to>
                    <xdr:col>8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8" name="Spinner 234">
              <controlPr defaultSize="0" autoPict="0">
                <anchor moveWithCells="1" sizeWithCells="1">
                  <from>
                    <xdr:col>11</xdr:col>
                    <xdr:colOff>9525</xdr:colOff>
                    <xdr:row>6</xdr:row>
                    <xdr:rowOff>9525</xdr:rowOff>
                  </from>
                  <to>
                    <xdr:col>12</xdr:col>
                    <xdr:colOff>9525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9" name="Spinner 235">
              <controlPr defaultSize="0" autoPict="0">
                <anchor moveWithCells="1" sizeWithCells="1">
                  <from>
                    <xdr:col>11</xdr:col>
                    <xdr:colOff>9525</xdr:colOff>
                    <xdr:row>9</xdr:row>
                    <xdr:rowOff>9525</xdr:rowOff>
                  </from>
                  <to>
                    <xdr:col>12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0" name="Spinner 237">
              <controlPr defaultSize="0" autoPict="0">
                <anchor moveWithCells="1" sizeWithCells="1">
                  <from>
                    <xdr:col>11</xdr:col>
                    <xdr:colOff>9525</xdr:colOff>
                    <xdr:row>12</xdr:row>
                    <xdr:rowOff>9525</xdr:rowOff>
                  </from>
                  <to>
                    <xdr:col>12</xdr:col>
                    <xdr:colOff>9525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1" name="Spinner 256">
              <controlPr defaultSize="0" autoPict="0">
                <anchor moveWithCells="1" siz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2" name="Spinner 266">
              <controlPr defaultSize="0" autoPict="0">
                <anchor moveWithCells="1" sizeWithCells="1">
                  <from>
                    <xdr:col>11</xdr:col>
                    <xdr:colOff>9525</xdr:colOff>
                    <xdr:row>3</xdr:row>
                    <xdr:rowOff>200025</xdr:rowOff>
                  </from>
                  <to>
                    <xdr:col>12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13" name="Spinner 291">
              <controlPr defaultSize="0" autoPict="0">
                <anchor>
                  <from>
                    <xdr:col>7</xdr:col>
                    <xdr:colOff>0</xdr:colOff>
                    <xdr:row>6</xdr:row>
                    <xdr:rowOff>9525</xdr:rowOff>
                  </from>
                  <to>
                    <xdr:col>8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4" name="Spinner 292">
              <controlPr defaultSize="0" autoPict="0">
                <anchor moveWithCells="1" sizeWithCells="1">
                  <from>
                    <xdr:col>7</xdr:col>
                    <xdr:colOff>0</xdr:colOff>
                    <xdr:row>9</xdr:row>
                    <xdr:rowOff>19050</xdr:rowOff>
                  </from>
                  <to>
                    <xdr:col>8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5" name="Spinner 293">
              <controlPr defaultSize="0" autoPict="0">
                <anchor moveWithCells="1" sizeWithCells="1">
                  <from>
                    <xdr:col>7</xdr:col>
                    <xdr:colOff>0</xdr:colOff>
                    <xdr:row>12</xdr:row>
                    <xdr:rowOff>9525</xdr:rowOff>
                  </from>
                  <to>
                    <xdr:col>8</xdr:col>
                    <xdr:colOff>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6" name="Spinner 338">
              <controlPr defaultSize="0" autoPict="0">
                <anchor moveWithCells="1" sizeWithCells="1">
                  <from>
                    <xdr:col>3</xdr:col>
                    <xdr:colOff>0</xdr:colOff>
                    <xdr:row>12</xdr:row>
                    <xdr:rowOff>9525</xdr:rowOff>
                  </from>
                  <to>
                    <xdr:col>3</xdr:col>
                    <xdr:colOff>114300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17" name="Spinner 368">
              <controlPr defaultSize="0" autoPict="0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8</xdr:col>
                    <xdr:colOff>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18" name="Spinner 369">
              <controlPr defaultSize="0" autoPict="0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8</xdr:col>
                    <xdr:colOff>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'Залоги и Цена пункта'!$B$10:$B$37</xm:f>
          </x14:formula1>
          <xm:sqref>P2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zoomScaleSheetLayoutView="95" workbookViewId="0">
      <selection activeCell="AK37" sqref="AK37"/>
    </sheetView>
  </sheetViews>
  <sheetFormatPr defaultRowHeight="12.75" x14ac:dyDescent="0.2"/>
  <sheetData/>
  <sheetProtection sheet="1" objects="1" scenarios="1"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7"/>
  <sheetViews>
    <sheetView workbookViewId="0">
      <selection activeCell="E14" sqref="E14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66" t="s">
        <v>123</v>
      </c>
      <c r="B1" s="18"/>
      <c r="C1" s="66"/>
      <c r="D1" s="66"/>
      <c r="E1" s="66"/>
    </row>
    <row r="2" spans="1:5" ht="15.75" x14ac:dyDescent="0.25">
      <c r="B2" s="18"/>
    </row>
    <row r="3" spans="1:5" x14ac:dyDescent="0.2">
      <c r="B3" s="20"/>
    </row>
    <row r="4" spans="1:5" x14ac:dyDescent="0.2">
      <c r="B4" s="20"/>
    </row>
    <row r="5" spans="1:5" x14ac:dyDescent="0.2">
      <c r="B5" s="20"/>
    </row>
    <row r="7" spans="1:5" ht="15.75" x14ac:dyDescent="0.25">
      <c r="B7" s="47">
        <v>42689</v>
      </c>
      <c r="D7" s="19" t="s">
        <v>42</v>
      </c>
      <c r="E7" s="21" t="s">
        <v>43</v>
      </c>
    </row>
    <row r="9" spans="1:5" ht="16.5" thickBot="1" x14ac:dyDescent="0.25">
      <c r="A9" s="52" t="s">
        <v>44</v>
      </c>
      <c r="B9" s="53" t="s">
        <v>40</v>
      </c>
      <c r="C9" s="54" t="s">
        <v>30</v>
      </c>
      <c r="D9" s="55" t="s">
        <v>41</v>
      </c>
      <c r="E9" s="56" t="s">
        <v>94</v>
      </c>
    </row>
    <row r="10" spans="1:5" ht="14.25" x14ac:dyDescent="0.2">
      <c r="A10" s="48">
        <v>1</v>
      </c>
      <c r="B10" s="43" t="s">
        <v>58</v>
      </c>
      <c r="C10" s="44">
        <v>151.13999999999999</v>
      </c>
      <c r="D10" s="44">
        <v>7.39</v>
      </c>
      <c r="E10" s="50">
        <v>8</v>
      </c>
    </row>
    <row r="11" spans="1:5" ht="14.25" x14ac:dyDescent="0.2">
      <c r="A11" s="49">
        <f>A10+1</f>
        <v>2</v>
      </c>
      <c r="B11" s="45" t="s">
        <v>60</v>
      </c>
      <c r="C11" s="41">
        <v>151.13999999999999</v>
      </c>
      <c r="D11" s="41">
        <v>10</v>
      </c>
      <c r="E11" s="51">
        <v>8</v>
      </c>
    </row>
    <row r="12" spans="1:5" ht="14.25" x14ac:dyDescent="0.2">
      <c r="A12" s="49">
        <f t="shared" ref="A12:A37" si="0">A11+1</f>
        <v>3</v>
      </c>
      <c r="B12" s="45" t="s">
        <v>62</v>
      </c>
      <c r="C12" s="41">
        <v>151.13999999999999</v>
      </c>
      <c r="D12" s="41">
        <v>9.24</v>
      </c>
      <c r="E12" s="51">
        <v>6</v>
      </c>
    </row>
    <row r="13" spans="1:5" ht="14.25" x14ac:dyDescent="0.2">
      <c r="A13" s="49">
        <f t="shared" si="0"/>
        <v>4</v>
      </c>
      <c r="B13" s="45" t="s">
        <v>64</v>
      </c>
      <c r="C13" s="41">
        <v>151.13999999999999</v>
      </c>
      <c r="D13" s="41">
        <v>7.11</v>
      </c>
      <c r="E13" s="51">
        <v>10</v>
      </c>
    </row>
    <row r="14" spans="1:5" ht="14.25" x14ac:dyDescent="0.2">
      <c r="A14" s="49">
        <f>A13+1</f>
        <v>5</v>
      </c>
      <c r="B14" s="45" t="s">
        <v>66</v>
      </c>
      <c r="C14" s="41">
        <v>151.18</v>
      </c>
      <c r="D14" s="41">
        <v>10</v>
      </c>
      <c r="E14" s="51">
        <v>4</v>
      </c>
    </row>
    <row r="15" spans="1:5" ht="14.25" x14ac:dyDescent="0.2">
      <c r="A15" s="49">
        <f t="shared" si="0"/>
        <v>6</v>
      </c>
      <c r="B15" s="45" t="s">
        <v>71</v>
      </c>
      <c r="C15" s="42">
        <v>147.87</v>
      </c>
      <c r="D15" s="42">
        <v>10</v>
      </c>
      <c r="E15" s="51">
        <v>8</v>
      </c>
    </row>
    <row r="16" spans="1:5" ht="14.25" x14ac:dyDescent="0.2">
      <c r="A16" s="49">
        <f t="shared" si="0"/>
        <v>7</v>
      </c>
      <c r="B16" s="45" t="s">
        <v>73</v>
      </c>
      <c r="C16" s="42">
        <v>147.87</v>
      </c>
      <c r="D16" s="42">
        <v>9.24</v>
      </c>
      <c r="E16" s="51">
        <v>6</v>
      </c>
    </row>
    <row r="17" spans="1:5" ht="14.25" x14ac:dyDescent="0.2">
      <c r="A17" s="49">
        <f t="shared" si="0"/>
        <v>8</v>
      </c>
      <c r="B17" s="45" t="s">
        <v>75</v>
      </c>
      <c r="C17" s="42">
        <v>200.16</v>
      </c>
      <c r="D17" s="42">
        <v>9.24</v>
      </c>
      <c r="E17" s="51">
        <v>8</v>
      </c>
    </row>
    <row r="18" spans="1:5" ht="14.25" x14ac:dyDescent="0.2">
      <c r="A18" s="49">
        <f t="shared" si="0"/>
        <v>9</v>
      </c>
      <c r="B18" s="45" t="s">
        <v>77</v>
      </c>
      <c r="C18" s="42">
        <v>215.18</v>
      </c>
      <c r="D18" s="42">
        <v>7.56</v>
      </c>
      <c r="E18" s="51">
        <v>10</v>
      </c>
    </row>
    <row r="19" spans="1:5" ht="14.25" x14ac:dyDescent="0.2">
      <c r="A19" s="49">
        <f t="shared" si="0"/>
        <v>10</v>
      </c>
      <c r="B19" s="45" t="s">
        <v>79</v>
      </c>
      <c r="C19" s="42">
        <v>215.18</v>
      </c>
      <c r="D19" s="42">
        <v>7.39</v>
      </c>
      <c r="E19" s="51">
        <v>8</v>
      </c>
    </row>
    <row r="20" spans="1:5" ht="14.25" x14ac:dyDescent="0.2">
      <c r="A20" s="49">
        <f t="shared" si="0"/>
        <v>11</v>
      </c>
      <c r="B20" s="45" t="s">
        <v>81</v>
      </c>
      <c r="C20" s="42">
        <v>215.18</v>
      </c>
      <c r="D20" s="42">
        <v>10</v>
      </c>
      <c r="E20" s="51">
        <v>6</v>
      </c>
    </row>
    <row r="21" spans="1:5" ht="14.25" x14ac:dyDescent="0.2">
      <c r="A21" s="49">
        <f t="shared" si="0"/>
        <v>12</v>
      </c>
      <c r="B21" s="45" t="s">
        <v>84</v>
      </c>
      <c r="C21" s="42">
        <v>215.18</v>
      </c>
      <c r="D21" s="42">
        <v>9.24</v>
      </c>
      <c r="E21" s="51">
        <v>4</v>
      </c>
    </row>
    <row r="22" spans="1:5" ht="14.25" x14ac:dyDescent="0.2">
      <c r="A22" s="49">
        <f t="shared" si="0"/>
        <v>13</v>
      </c>
      <c r="B22" s="45" t="s">
        <v>82</v>
      </c>
      <c r="C22" s="42">
        <v>215.18</v>
      </c>
      <c r="D22" s="42">
        <v>12.43</v>
      </c>
      <c r="E22" s="51">
        <v>3</v>
      </c>
    </row>
    <row r="23" spans="1:5" ht="14.25" x14ac:dyDescent="0.2">
      <c r="A23" s="49">
        <f t="shared" si="0"/>
        <v>14</v>
      </c>
      <c r="B23" s="45" t="s">
        <v>86</v>
      </c>
      <c r="C23" s="42">
        <v>215.18</v>
      </c>
      <c r="D23" s="42">
        <v>7.11</v>
      </c>
      <c r="E23" s="51">
        <v>12</v>
      </c>
    </row>
    <row r="24" spans="1:5" ht="14.25" x14ac:dyDescent="0.2">
      <c r="A24" s="49">
        <f t="shared" si="0"/>
        <v>15</v>
      </c>
      <c r="B24" s="45" t="s">
        <v>88</v>
      </c>
      <c r="C24" s="42">
        <v>215.2</v>
      </c>
      <c r="D24" s="42">
        <v>10</v>
      </c>
      <c r="E24" s="51">
        <v>2</v>
      </c>
    </row>
    <row r="25" spans="1:5" ht="14.25" x14ac:dyDescent="0.2">
      <c r="A25" s="49">
        <f t="shared" si="0"/>
        <v>16</v>
      </c>
      <c r="B25" s="45" t="s">
        <v>90</v>
      </c>
      <c r="C25" s="42">
        <v>248.53</v>
      </c>
      <c r="D25" s="42">
        <v>7.56</v>
      </c>
      <c r="E25" s="51">
        <v>10</v>
      </c>
    </row>
    <row r="26" spans="1:5" ht="14.25" x14ac:dyDescent="0.2">
      <c r="A26" s="49">
        <f t="shared" si="0"/>
        <v>17</v>
      </c>
      <c r="B26" s="45" t="s">
        <v>92</v>
      </c>
      <c r="C26" s="42">
        <v>248.53</v>
      </c>
      <c r="D26" s="42">
        <v>7.39</v>
      </c>
      <c r="E26" s="51">
        <v>10</v>
      </c>
    </row>
    <row r="27" spans="1:5" ht="14.25" x14ac:dyDescent="0.2">
      <c r="A27" s="49">
        <f t="shared" si="0"/>
        <v>18</v>
      </c>
      <c r="B27" s="45" t="s">
        <v>93</v>
      </c>
      <c r="C27" s="42">
        <v>248.53</v>
      </c>
      <c r="D27" s="42">
        <v>10</v>
      </c>
      <c r="E27" s="51">
        <v>10</v>
      </c>
    </row>
    <row r="28" spans="1:5" ht="14.25" x14ac:dyDescent="0.2">
      <c r="A28" s="49">
        <f t="shared" si="0"/>
        <v>19</v>
      </c>
      <c r="B28" s="45" t="s">
        <v>56</v>
      </c>
      <c r="C28" s="42">
        <v>248.53</v>
      </c>
      <c r="D28" s="42">
        <v>9.24</v>
      </c>
      <c r="E28" s="51">
        <v>8</v>
      </c>
    </row>
    <row r="29" spans="1:5" ht="14.25" x14ac:dyDescent="0.2">
      <c r="A29" s="49">
        <f t="shared" si="0"/>
        <v>20</v>
      </c>
      <c r="B29" s="45" t="s">
        <v>57</v>
      </c>
      <c r="C29" s="42">
        <v>248.53</v>
      </c>
      <c r="D29" s="42">
        <v>7.11</v>
      </c>
      <c r="E29" s="51">
        <v>18</v>
      </c>
    </row>
    <row r="30" spans="1:5" ht="14.25" x14ac:dyDescent="0.2">
      <c r="A30" s="49">
        <f t="shared" si="0"/>
        <v>21</v>
      </c>
      <c r="B30" s="45" t="s">
        <v>59</v>
      </c>
      <c r="C30" s="42">
        <v>248.56</v>
      </c>
      <c r="D30" s="42">
        <v>10</v>
      </c>
      <c r="E30" s="51">
        <v>3</v>
      </c>
    </row>
    <row r="31" spans="1:5" ht="14.25" x14ac:dyDescent="0.2">
      <c r="A31" s="49">
        <f t="shared" si="0"/>
        <v>22</v>
      </c>
      <c r="B31" s="46" t="s">
        <v>95</v>
      </c>
      <c r="C31" s="22">
        <v>142.15</v>
      </c>
      <c r="D31" s="22">
        <v>7.39</v>
      </c>
      <c r="E31" s="51">
        <v>10</v>
      </c>
    </row>
    <row r="32" spans="1:5" ht="14.25" x14ac:dyDescent="0.2">
      <c r="A32" s="49">
        <f t="shared" si="0"/>
        <v>23</v>
      </c>
      <c r="B32" s="46" t="s">
        <v>96</v>
      </c>
      <c r="C32" s="22">
        <v>142.15</v>
      </c>
      <c r="D32" s="22">
        <v>10</v>
      </c>
      <c r="E32" s="51">
        <v>12</v>
      </c>
    </row>
    <row r="33" spans="1:5" ht="14.25" x14ac:dyDescent="0.2">
      <c r="A33" s="49">
        <f t="shared" si="0"/>
        <v>24</v>
      </c>
      <c r="B33" s="46" t="s">
        <v>61</v>
      </c>
      <c r="C33" s="22">
        <v>142.15</v>
      </c>
      <c r="D33" s="22">
        <v>9.24</v>
      </c>
      <c r="E33" s="51">
        <v>8</v>
      </c>
    </row>
    <row r="34" spans="1:5" ht="14.25" x14ac:dyDescent="0.2">
      <c r="A34" s="49">
        <f t="shared" si="0"/>
        <v>25</v>
      </c>
      <c r="B34" s="46" t="s">
        <v>63</v>
      </c>
      <c r="C34" s="22">
        <v>142.19999999999999</v>
      </c>
      <c r="D34" s="22">
        <v>10</v>
      </c>
      <c r="E34" s="51">
        <v>5</v>
      </c>
    </row>
    <row r="35" spans="1:5" ht="14.25" x14ac:dyDescent="0.2">
      <c r="A35" s="49">
        <f t="shared" si="0"/>
        <v>26</v>
      </c>
      <c r="B35" s="46" t="s">
        <v>67</v>
      </c>
      <c r="C35" s="22">
        <v>200</v>
      </c>
      <c r="D35" s="22">
        <v>7.39</v>
      </c>
      <c r="E35" s="51">
        <v>4</v>
      </c>
    </row>
    <row r="36" spans="1:5" ht="14.25" x14ac:dyDescent="0.2">
      <c r="A36" s="49">
        <f t="shared" si="0"/>
        <v>27</v>
      </c>
      <c r="B36" s="46" t="s">
        <v>69</v>
      </c>
      <c r="C36" s="22">
        <v>200</v>
      </c>
      <c r="D36" s="22">
        <v>10</v>
      </c>
      <c r="E36" s="51">
        <v>4</v>
      </c>
    </row>
    <row r="37" spans="1:5" ht="14.25" x14ac:dyDescent="0.2">
      <c r="A37" s="57">
        <f t="shared" si="0"/>
        <v>28</v>
      </c>
      <c r="B37" s="58" t="s">
        <v>80</v>
      </c>
      <c r="C37" s="59">
        <v>200</v>
      </c>
      <c r="D37" s="59">
        <v>9.24</v>
      </c>
      <c r="E37" s="60">
        <v>3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sqref="A1:D22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51</v>
      </c>
      <c r="B1" s="40" t="s">
        <v>52</v>
      </c>
      <c r="C1" s="40" t="s">
        <v>53</v>
      </c>
      <c r="D1" s="40" t="s">
        <v>54</v>
      </c>
      <c r="E1" t="s">
        <v>51</v>
      </c>
      <c r="F1" s="40" t="s">
        <v>52</v>
      </c>
      <c r="G1" s="40" t="s">
        <v>53</v>
      </c>
      <c r="H1" s="40" t="s">
        <v>54</v>
      </c>
      <c r="J1" s="66" t="s">
        <v>124</v>
      </c>
      <c r="K1" s="66"/>
      <c r="L1" s="66"/>
      <c r="M1" s="66"/>
      <c r="N1" s="66"/>
      <c r="O1" s="66"/>
      <c r="Q1" s="64" t="str">
        <f>HYPERLINK("http://ru.investing.com/tools/forex-volatility-calculator","investing.com")</f>
        <v>investing.com</v>
      </c>
    </row>
    <row r="2" spans="1:17" x14ac:dyDescent="0.2">
      <c r="A2" s="40" t="s">
        <v>55</v>
      </c>
      <c r="B2" s="40" t="s">
        <v>58</v>
      </c>
      <c r="C2" s="61" t="s">
        <v>185</v>
      </c>
      <c r="D2" s="61" t="s">
        <v>147</v>
      </c>
      <c r="E2" t="s">
        <v>55</v>
      </c>
      <c r="F2" t="s">
        <v>57</v>
      </c>
      <c r="G2" s="62" t="s">
        <v>154</v>
      </c>
      <c r="H2" s="62" t="s">
        <v>153</v>
      </c>
      <c r="J2" s="66" t="s">
        <v>133</v>
      </c>
      <c r="K2" s="66"/>
      <c r="L2" s="66"/>
      <c r="M2" s="66"/>
      <c r="N2" s="66"/>
      <c r="O2" s="66"/>
    </row>
    <row r="3" spans="1:17" x14ac:dyDescent="0.2">
      <c r="A3" s="40" t="s">
        <v>55</v>
      </c>
      <c r="B3" s="40" t="s">
        <v>60</v>
      </c>
      <c r="C3" s="61" t="s">
        <v>186</v>
      </c>
      <c r="D3" s="61" t="s">
        <v>187</v>
      </c>
      <c r="E3" t="s">
        <v>55</v>
      </c>
      <c r="F3" t="s">
        <v>59</v>
      </c>
      <c r="G3" s="62" t="s">
        <v>155</v>
      </c>
      <c r="H3" s="62" t="s">
        <v>152</v>
      </c>
    </row>
    <row r="4" spans="1:17" x14ac:dyDescent="0.2">
      <c r="A4" s="40" t="s">
        <v>55</v>
      </c>
      <c r="B4" s="40" t="s">
        <v>62</v>
      </c>
      <c r="C4" s="61" t="s">
        <v>188</v>
      </c>
      <c r="D4" s="61" t="s">
        <v>189</v>
      </c>
      <c r="E4" t="s">
        <v>55</v>
      </c>
      <c r="F4" t="s">
        <v>61</v>
      </c>
      <c r="G4" s="62" t="s">
        <v>156</v>
      </c>
      <c r="H4" s="62" t="s">
        <v>142</v>
      </c>
    </row>
    <row r="5" spans="1:17" x14ac:dyDescent="0.2">
      <c r="A5" s="40" t="s">
        <v>55</v>
      </c>
      <c r="B5" s="40" t="s">
        <v>64</v>
      </c>
      <c r="C5" s="61" t="s">
        <v>190</v>
      </c>
      <c r="D5" s="61" t="s">
        <v>147</v>
      </c>
      <c r="E5" t="s">
        <v>55</v>
      </c>
      <c r="F5" t="s">
        <v>63</v>
      </c>
      <c r="G5" s="62" t="s">
        <v>157</v>
      </c>
      <c r="H5" s="62" t="s">
        <v>139</v>
      </c>
    </row>
    <row r="6" spans="1:17" x14ac:dyDescent="0.2">
      <c r="A6" s="40" t="s">
        <v>55</v>
      </c>
      <c r="B6" s="40" t="s">
        <v>66</v>
      </c>
      <c r="C6" s="61" t="s">
        <v>191</v>
      </c>
      <c r="D6" s="61" t="s">
        <v>192</v>
      </c>
      <c r="E6" t="s">
        <v>55</v>
      </c>
      <c r="F6" t="s">
        <v>65</v>
      </c>
      <c r="G6" s="62" t="s">
        <v>158</v>
      </c>
      <c r="H6" s="62" t="s">
        <v>137</v>
      </c>
    </row>
    <row r="7" spans="1:17" x14ac:dyDescent="0.2">
      <c r="A7" s="40" t="s">
        <v>55</v>
      </c>
      <c r="B7" s="40" t="s">
        <v>68</v>
      </c>
      <c r="C7" s="61" t="s">
        <v>193</v>
      </c>
      <c r="D7" s="61" t="s">
        <v>194</v>
      </c>
      <c r="E7" t="s">
        <v>55</v>
      </c>
      <c r="F7" t="s">
        <v>67</v>
      </c>
      <c r="G7" s="62" t="s">
        <v>159</v>
      </c>
      <c r="H7" s="62" t="s">
        <v>160</v>
      </c>
    </row>
    <row r="8" spans="1:17" x14ac:dyDescent="0.2">
      <c r="A8" s="40" t="s">
        <v>55</v>
      </c>
      <c r="B8" s="40" t="s">
        <v>70</v>
      </c>
      <c r="C8" s="61" t="s">
        <v>195</v>
      </c>
      <c r="D8" s="61" t="s">
        <v>196</v>
      </c>
      <c r="E8" t="s">
        <v>55</v>
      </c>
      <c r="F8" t="s">
        <v>69</v>
      </c>
      <c r="G8" s="62" t="s">
        <v>161</v>
      </c>
      <c r="H8" s="62" t="s">
        <v>144</v>
      </c>
    </row>
    <row r="9" spans="1:17" x14ac:dyDescent="0.2">
      <c r="A9" s="40" t="s">
        <v>55</v>
      </c>
      <c r="B9" s="40" t="s">
        <v>71</v>
      </c>
      <c r="C9" s="61" t="s">
        <v>197</v>
      </c>
      <c r="D9" s="61" t="s">
        <v>145</v>
      </c>
      <c r="E9" t="s">
        <v>55</v>
      </c>
      <c r="F9" t="s">
        <v>97</v>
      </c>
      <c r="G9" s="62" t="s">
        <v>162</v>
      </c>
      <c r="H9" s="62" t="s">
        <v>163</v>
      </c>
    </row>
    <row r="10" spans="1:17" x14ac:dyDescent="0.2">
      <c r="A10" s="40" t="s">
        <v>55</v>
      </c>
      <c r="B10" s="40" t="s">
        <v>73</v>
      </c>
      <c r="C10" s="61" t="s">
        <v>198</v>
      </c>
      <c r="D10" s="61" t="s">
        <v>150</v>
      </c>
      <c r="E10" t="s">
        <v>55</v>
      </c>
      <c r="F10" t="s">
        <v>72</v>
      </c>
      <c r="G10" s="62" t="s">
        <v>164</v>
      </c>
      <c r="H10" s="62" t="s">
        <v>146</v>
      </c>
    </row>
    <row r="11" spans="1:17" x14ac:dyDescent="0.2">
      <c r="A11" s="40" t="s">
        <v>55</v>
      </c>
      <c r="B11" s="40" t="s">
        <v>75</v>
      </c>
      <c r="C11" s="61" t="s">
        <v>199</v>
      </c>
      <c r="D11" s="61" t="s">
        <v>148</v>
      </c>
      <c r="E11" t="s">
        <v>55</v>
      </c>
      <c r="F11" t="s">
        <v>74</v>
      </c>
      <c r="G11" s="62" t="s">
        <v>165</v>
      </c>
      <c r="H11" s="62" t="s">
        <v>101</v>
      </c>
    </row>
    <row r="12" spans="1:17" x14ac:dyDescent="0.2">
      <c r="A12" s="40" t="s">
        <v>55</v>
      </c>
      <c r="B12" s="40" t="s">
        <v>77</v>
      </c>
      <c r="C12" s="61" t="s">
        <v>200</v>
      </c>
      <c r="D12" s="61" t="s">
        <v>140</v>
      </c>
      <c r="E12" t="s">
        <v>55</v>
      </c>
      <c r="F12" t="s">
        <v>76</v>
      </c>
      <c r="G12" s="62" t="s">
        <v>166</v>
      </c>
      <c r="H12" s="62" t="s">
        <v>146</v>
      </c>
    </row>
    <row r="13" spans="1:17" x14ac:dyDescent="0.2">
      <c r="A13" s="40" t="s">
        <v>55</v>
      </c>
      <c r="B13" s="40" t="s">
        <v>79</v>
      </c>
      <c r="C13" s="61" t="s">
        <v>201</v>
      </c>
      <c r="D13" s="61" t="s">
        <v>136</v>
      </c>
      <c r="E13" t="s">
        <v>55</v>
      </c>
      <c r="F13" t="s">
        <v>78</v>
      </c>
      <c r="G13" s="62" t="s">
        <v>167</v>
      </c>
      <c r="H13" s="62" t="s">
        <v>168</v>
      </c>
    </row>
    <row r="14" spans="1:17" x14ac:dyDescent="0.2">
      <c r="A14" s="40" t="s">
        <v>55</v>
      </c>
      <c r="B14" s="40" t="s">
        <v>81</v>
      </c>
      <c r="C14" s="61" t="s">
        <v>202</v>
      </c>
      <c r="D14" s="61" t="s">
        <v>203</v>
      </c>
      <c r="E14" t="s">
        <v>55</v>
      </c>
      <c r="F14" t="s">
        <v>80</v>
      </c>
      <c r="G14" s="62" t="s">
        <v>169</v>
      </c>
      <c r="H14" s="62" t="s">
        <v>143</v>
      </c>
    </row>
    <row r="15" spans="1:17" x14ac:dyDescent="0.2">
      <c r="A15" s="40" t="s">
        <v>55</v>
      </c>
      <c r="B15" s="40" t="s">
        <v>82</v>
      </c>
      <c r="C15" s="61" t="s">
        <v>204</v>
      </c>
      <c r="D15" s="61" t="s">
        <v>205</v>
      </c>
      <c r="E15" t="s">
        <v>55</v>
      </c>
      <c r="F15" t="s">
        <v>98</v>
      </c>
      <c r="G15" s="62" t="s">
        <v>170</v>
      </c>
      <c r="H15" s="62" t="s">
        <v>171</v>
      </c>
    </row>
    <row r="16" spans="1:17" x14ac:dyDescent="0.2">
      <c r="A16" s="40" t="s">
        <v>55</v>
      </c>
      <c r="B16" s="40" t="s">
        <v>84</v>
      </c>
      <c r="C16" s="61" t="s">
        <v>206</v>
      </c>
      <c r="D16" s="61" t="s">
        <v>140</v>
      </c>
      <c r="E16" t="s">
        <v>55</v>
      </c>
      <c r="F16" t="s">
        <v>99</v>
      </c>
      <c r="G16" s="62" t="s">
        <v>172</v>
      </c>
      <c r="H16" s="62" t="s">
        <v>173</v>
      </c>
    </row>
    <row r="17" spans="1:8" x14ac:dyDescent="0.2">
      <c r="A17" s="40" t="s">
        <v>55</v>
      </c>
      <c r="B17" s="40" t="s">
        <v>86</v>
      </c>
      <c r="C17" s="61" t="s">
        <v>207</v>
      </c>
      <c r="D17" s="61" t="s">
        <v>149</v>
      </c>
      <c r="E17" t="s">
        <v>55</v>
      </c>
      <c r="F17" t="s">
        <v>83</v>
      </c>
      <c r="G17" s="62" t="s">
        <v>174</v>
      </c>
      <c r="H17" s="62" t="s">
        <v>151</v>
      </c>
    </row>
    <row r="18" spans="1:8" x14ac:dyDescent="0.2">
      <c r="A18" s="40" t="s">
        <v>55</v>
      </c>
      <c r="B18" s="40" t="s">
        <v>88</v>
      </c>
      <c r="C18" s="61" t="s">
        <v>208</v>
      </c>
      <c r="D18" s="61" t="s">
        <v>145</v>
      </c>
      <c r="E18" t="s">
        <v>55</v>
      </c>
      <c r="F18" t="s">
        <v>85</v>
      </c>
      <c r="G18" s="62" t="s">
        <v>175</v>
      </c>
      <c r="H18" s="62" t="s">
        <v>176</v>
      </c>
    </row>
    <row r="19" spans="1:8" x14ac:dyDescent="0.2">
      <c r="A19" s="40" t="s">
        <v>55</v>
      </c>
      <c r="B19" s="40" t="s">
        <v>90</v>
      </c>
      <c r="C19" s="61" t="s">
        <v>209</v>
      </c>
      <c r="D19" s="61" t="s">
        <v>210</v>
      </c>
      <c r="E19" t="s">
        <v>55</v>
      </c>
      <c r="F19" t="s">
        <v>87</v>
      </c>
      <c r="G19" s="62" t="s">
        <v>177</v>
      </c>
      <c r="H19" s="62" t="s">
        <v>178</v>
      </c>
    </row>
    <row r="20" spans="1:8" x14ac:dyDescent="0.2">
      <c r="A20" s="40" t="s">
        <v>55</v>
      </c>
      <c r="B20" s="40" t="s">
        <v>92</v>
      </c>
      <c r="C20" s="61" t="s">
        <v>211</v>
      </c>
      <c r="D20" s="61" t="s">
        <v>141</v>
      </c>
      <c r="E20" t="s">
        <v>55</v>
      </c>
      <c r="F20" t="s">
        <v>100</v>
      </c>
      <c r="G20" s="62" t="s">
        <v>179</v>
      </c>
      <c r="H20" s="62" t="s">
        <v>180</v>
      </c>
    </row>
    <row r="21" spans="1:8" x14ac:dyDescent="0.2">
      <c r="A21" s="40" t="s">
        <v>55</v>
      </c>
      <c r="B21" s="40" t="s">
        <v>93</v>
      </c>
      <c r="C21" s="61" t="s">
        <v>212</v>
      </c>
      <c r="D21" s="61" t="s">
        <v>141</v>
      </c>
      <c r="E21" t="s">
        <v>55</v>
      </c>
      <c r="F21" t="s">
        <v>89</v>
      </c>
      <c r="G21" s="62" t="s">
        <v>181</v>
      </c>
      <c r="H21" s="62" t="s">
        <v>182</v>
      </c>
    </row>
    <row r="22" spans="1:8" x14ac:dyDescent="0.2">
      <c r="A22" s="40" t="s">
        <v>55</v>
      </c>
      <c r="B22" s="40" t="s">
        <v>56</v>
      </c>
      <c r="C22" s="61" t="s">
        <v>213</v>
      </c>
      <c r="D22" s="61" t="s">
        <v>214</v>
      </c>
      <c r="E22" t="s">
        <v>55</v>
      </c>
      <c r="F22" t="s">
        <v>91</v>
      </c>
      <c r="G22" s="62" t="s">
        <v>183</v>
      </c>
      <c r="H22" s="62" t="s">
        <v>184</v>
      </c>
    </row>
  </sheetData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C86F75-306D-4B59-AE43-9F086B5584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 таблица</vt:lpstr>
      <vt:lpstr>График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 Windows</cp:lastModifiedBy>
  <cp:lastPrinted>2016-09-13T02:40:01Z</cp:lastPrinted>
  <dcterms:created xsi:type="dcterms:W3CDTF">2016-02-20T10:06:05Z</dcterms:created>
  <dcterms:modified xsi:type="dcterms:W3CDTF">2017-04-19T09:38:23Z</dcterms:modified>
  <cp:contentStatus/>
</cp:coreProperties>
</file>