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ЭтаКнига"/>
  <bookViews>
    <workbookView xWindow="0" yWindow="0" windowWidth="20490" windowHeight="7905" tabRatio="688"/>
  </bookViews>
  <sheets>
    <sheet name="Сводная таблица" sheetId="10" r:id="rId1"/>
    <sheet name="График" sheetId="12" r:id="rId2"/>
    <sheet name="Залоги и Цена пункта" sheetId="13" r:id="rId3"/>
    <sheet name="Волатильность" sheetId="9" r:id="rId4"/>
    <sheet name="Доп. настр." sheetId="14" r:id="rId5"/>
  </sheets>
  <definedNames>
    <definedName name="_xlnm._FilterDatabase" localSheetId="0" hidden="1">'Сводная таблица'!$A$15:$AF$15</definedName>
    <definedName name="ExternalData_1" localSheetId="3" hidden="1">Волатильность!$A$1:$D$22</definedName>
    <definedName name="ExternalData_2" localSheetId="3" hidden="1">Волатильность!$E$1:$H$22</definedName>
    <definedName name="solver_adj" localSheetId="0" hidden="1">'Сводная таблица'!$C$11,'Сводная таблица'!$K$8</definedName>
    <definedName name="solver_cvg" localSheetId="0" hidden="1">0.0001</definedName>
    <definedName name="solver_drv" localSheetId="0" hidden="1">2</definedName>
    <definedName name="solver_eng" localSheetId="0" hidden="1">3</definedName>
    <definedName name="solver_est" localSheetId="0" hidden="1">1</definedName>
    <definedName name="solver_itr" localSheetId="0" hidden="1">2147483647</definedName>
    <definedName name="solver_lhs1" localSheetId="0" hidden="1">'Сводная таблица'!$AB$7</definedName>
    <definedName name="solver_lhs2" localSheetId="0" hidden="1">'Сводная таблица'!$AB$2</definedName>
    <definedName name="solver_lhs3" localSheetId="0" hidden="1">'Сводная таблица'!$C$11</definedName>
    <definedName name="solver_lhs4" localSheetId="0" hidden="1">'Сводная таблица'!$K$7</definedName>
    <definedName name="solver_lhs5" localSheetId="0" hidden="1">'Сводная таблица'!$K$7</definedName>
    <definedName name="solver_mip" localSheetId="0" hidden="1">2147483647</definedName>
    <definedName name="solver_mni" localSheetId="0" hidden="1">600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3</definedName>
    <definedName name="solver_nwt" localSheetId="0" hidden="1">1</definedName>
    <definedName name="solver_opt" localSheetId="0" hidden="1">'Сводная таблица'!$Z$3</definedName>
    <definedName name="solver_pre" localSheetId="0" hidden="1">0.000001</definedName>
    <definedName name="solver_rbv" localSheetId="0" hidden="1">2</definedName>
    <definedName name="solver_rel1" localSheetId="0" hidden="1">1</definedName>
    <definedName name="solver_rel2" localSheetId="0" hidden="1">3</definedName>
    <definedName name="solver_rel3" localSheetId="0" hidden="1">1</definedName>
    <definedName name="solver_rel4" localSheetId="0" hidden="1">3</definedName>
    <definedName name="solver_rel5" localSheetId="0" hidden="1">3</definedName>
    <definedName name="solver_rhs1" localSheetId="0" hidden="1">25%</definedName>
    <definedName name="solver_rhs2" localSheetId="0" hidden="1">500%</definedName>
    <definedName name="solver_rhs3" localSheetId="0" hidden="1">100</definedName>
    <definedName name="solver_rhs4" localSheetId="0" hidden="1">'Сводная таблица'!$K$5+1</definedName>
    <definedName name="solver_rhs5" localSheetId="0" hidden="1">'Сводная таблица'!$K$5+1</definedName>
    <definedName name="solver_rlx" localSheetId="0" hidden="1">2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1</definedName>
    <definedName name="solver_val" localSheetId="0" hidden="1">0</definedName>
    <definedName name="solver_ver" localSheetId="0" hidden="1">3</definedName>
    <definedName name="безубыток">'Сводная таблица'!$R$17:INDEX('Сводная таблица'!$R$17:$R$116,MATCH(0,'Сводная таблица'!$AB$17:$AB$116,-1))</definedName>
    <definedName name="маржа">'Сводная таблица'!$AB$17:INDEX('Сводная таблица'!$AB$17:$AB$116,MATCH(0,'Сводная таблица'!$AB$17:$AB$116,-1))</definedName>
    <definedName name="прибыль">'Сводная таблица'!$M$17:INDEX('Сводная таблица'!$M$17:$M$116,MATCH(0,'Сводная таблица'!$AB$17:$AB$116,-1))</definedName>
    <definedName name="сетка">'Сводная таблица'!$G$17:INDEX('Сводная таблица'!$G$17:$G$116,MATCH(0,'Сводная таблица'!$AB$17:$AB$116,-1))</definedName>
    <definedName name="ТР">'Сводная таблица'!$T$17:INDEX('Сводная таблица'!$T$17:$T$116,MATCH(0,'Сводная таблица'!$AB$17:$AB$116,-1))</definedName>
  </definedNames>
  <calcPr calcId="145621"/>
</workbook>
</file>

<file path=xl/calcChain.xml><?xml version="1.0" encoding="utf-8"?>
<calcChain xmlns="http://schemas.openxmlformats.org/spreadsheetml/2006/main">
  <c r="A38" i="13" l="1"/>
  <c r="P8" i="10" l="1"/>
  <c r="Q1" i="9"/>
  <c r="P5" i="10" l="1"/>
  <c r="B20" i="10" l="1"/>
  <c r="E20" i="10"/>
  <c r="B21" i="10"/>
  <c r="E21" i="10"/>
  <c r="B22" i="10"/>
  <c r="E22" i="10"/>
  <c r="B23" i="10"/>
  <c r="E23" i="10"/>
  <c r="B24" i="10"/>
  <c r="E24" i="10"/>
  <c r="B25" i="10"/>
  <c r="E25" i="10"/>
  <c r="B26" i="10"/>
  <c r="E26" i="10"/>
  <c r="B27" i="10"/>
  <c r="E27" i="10"/>
  <c r="B28" i="10"/>
  <c r="E28" i="10"/>
  <c r="B29" i="10"/>
  <c r="E29" i="10"/>
  <c r="B30" i="10"/>
  <c r="E30" i="10"/>
  <c r="B31" i="10"/>
  <c r="E31" i="10"/>
  <c r="B32" i="10"/>
  <c r="E32" i="10"/>
  <c r="B33" i="10"/>
  <c r="E33" i="10"/>
  <c r="B34" i="10"/>
  <c r="E34" i="10"/>
  <c r="B35" i="10"/>
  <c r="E35" i="10"/>
  <c r="B36" i="10"/>
  <c r="E36" i="10"/>
  <c r="B37" i="10"/>
  <c r="E37" i="10"/>
  <c r="B38" i="10"/>
  <c r="E38" i="10"/>
  <c r="B39" i="10"/>
  <c r="E39" i="10"/>
  <c r="B40" i="10"/>
  <c r="E40" i="10"/>
  <c r="B41" i="10"/>
  <c r="E41" i="10"/>
  <c r="B42" i="10"/>
  <c r="E42" i="10"/>
  <c r="B43" i="10"/>
  <c r="E43" i="10"/>
  <c r="B44" i="10"/>
  <c r="E44" i="10"/>
  <c r="B45" i="10"/>
  <c r="E45" i="10"/>
  <c r="B46" i="10"/>
  <c r="E46" i="10"/>
  <c r="B47" i="10"/>
  <c r="E47" i="10"/>
  <c r="B48" i="10"/>
  <c r="E48" i="10"/>
  <c r="B49" i="10"/>
  <c r="E49" i="10"/>
  <c r="B50" i="10"/>
  <c r="E50" i="10"/>
  <c r="B51" i="10"/>
  <c r="E51" i="10"/>
  <c r="B52" i="10"/>
  <c r="E52" i="10"/>
  <c r="B53" i="10"/>
  <c r="E53" i="10"/>
  <c r="B54" i="10"/>
  <c r="E54" i="10"/>
  <c r="B55" i="10"/>
  <c r="E55" i="10"/>
  <c r="B56" i="10"/>
  <c r="E56" i="10"/>
  <c r="B57" i="10"/>
  <c r="E57" i="10"/>
  <c r="B58" i="10"/>
  <c r="E58" i="10"/>
  <c r="B59" i="10"/>
  <c r="E59" i="10"/>
  <c r="B60" i="10"/>
  <c r="E60" i="10"/>
  <c r="B61" i="10"/>
  <c r="E61" i="10"/>
  <c r="B62" i="10"/>
  <c r="E62" i="10"/>
  <c r="B63" i="10"/>
  <c r="E63" i="10"/>
  <c r="B64" i="10"/>
  <c r="E64" i="10"/>
  <c r="B65" i="10"/>
  <c r="E65" i="10"/>
  <c r="B66" i="10"/>
  <c r="E66" i="10"/>
  <c r="B67" i="10"/>
  <c r="E67" i="10"/>
  <c r="B68" i="10"/>
  <c r="E68" i="10"/>
  <c r="B69" i="10"/>
  <c r="E69" i="10"/>
  <c r="B70" i="10"/>
  <c r="E70" i="10"/>
  <c r="B71" i="10"/>
  <c r="E71" i="10"/>
  <c r="B72" i="10"/>
  <c r="E72" i="10"/>
  <c r="B73" i="10"/>
  <c r="E73" i="10"/>
  <c r="B74" i="10"/>
  <c r="E74" i="10"/>
  <c r="B75" i="10"/>
  <c r="E75" i="10"/>
  <c r="B76" i="10"/>
  <c r="E76" i="10"/>
  <c r="B77" i="10"/>
  <c r="E77" i="10"/>
  <c r="B78" i="10"/>
  <c r="E78" i="10"/>
  <c r="B79" i="10"/>
  <c r="E79" i="10"/>
  <c r="B80" i="10"/>
  <c r="E80" i="10"/>
  <c r="B81" i="10"/>
  <c r="E81" i="10"/>
  <c r="B82" i="10"/>
  <c r="E82" i="10"/>
  <c r="B83" i="10"/>
  <c r="E83" i="10"/>
  <c r="B84" i="10"/>
  <c r="E84" i="10"/>
  <c r="B85" i="10"/>
  <c r="E85" i="10"/>
  <c r="B86" i="10"/>
  <c r="E86" i="10"/>
  <c r="B87" i="10"/>
  <c r="E87" i="10"/>
  <c r="B88" i="10"/>
  <c r="E88" i="10"/>
  <c r="B89" i="10"/>
  <c r="E89" i="10"/>
  <c r="B90" i="10"/>
  <c r="E90" i="10"/>
  <c r="B91" i="10"/>
  <c r="E91" i="10"/>
  <c r="B92" i="10"/>
  <c r="E92" i="10"/>
  <c r="B93" i="10"/>
  <c r="E93" i="10"/>
  <c r="B94" i="10"/>
  <c r="E94" i="10"/>
  <c r="B95" i="10"/>
  <c r="E95" i="10"/>
  <c r="B96" i="10"/>
  <c r="E96" i="10"/>
  <c r="B97" i="10"/>
  <c r="E97" i="10"/>
  <c r="B98" i="10"/>
  <c r="E98" i="10"/>
  <c r="B99" i="10"/>
  <c r="E99" i="10"/>
  <c r="B100" i="10"/>
  <c r="E100" i="10"/>
  <c r="B101" i="10"/>
  <c r="E101" i="10"/>
  <c r="B102" i="10"/>
  <c r="E102" i="10"/>
  <c r="B103" i="10"/>
  <c r="E103" i="10"/>
  <c r="B104" i="10"/>
  <c r="E104" i="10"/>
  <c r="B105" i="10"/>
  <c r="E105" i="10"/>
  <c r="B106" i="10"/>
  <c r="E106" i="10"/>
  <c r="B107" i="10"/>
  <c r="E107" i="10"/>
  <c r="B108" i="10"/>
  <c r="E108" i="10"/>
  <c r="B109" i="10"/>
  <c r="E109" i="10"/>
  <c r="B110" i="10"/>
  <c r="E110" i="10"/>
  <c r="B111" i="10"/>
  <c r="E111" i="10"/>
  <c r="B112" i="10"/>
  <c r="E112" i="10"/>
  <c r="B113" i="10"/>
  <c r="E113" i="10"/>
  <c r="B114" i="10"/>
  <c r="E114" i="10"/>
  <c r="B115" i="10"/>
  <c r="E115" i="10"/>
  <c r="B116" i="10"/>
  <c r="E116" i="10"/>
  <c r="E19" i="10"/>
  <c r="B19" i="10"/>
  <c r="E18" i="10"/>
  <c r="F18" i="10" s="1"/>
  <c r="B18" i="10"/>
  <c r="I17" i="10"/>
  <c r="J17" i="10" s="1"/>
  <c r="P17" i="10" s="1"/>
  <c r="G17" i="10"/>
  <c r="E17" i="10"/>
  <c r="C17" i="10"/>
  <c r="I18" i="10" l="1"/>
  <c r="J18" i="10" s="1"/>
  <c r="Q17" i="10"/>
  <c r="F19" i="10"/>
  <c r="F20" i="10" s="1"/>
  <c r="G18" i="10"/>
  <c r="K17" i="10"/>
  <c r="C18" i="10"/>
  <c r="J14" i="10"/>
  <c r="J13" i="10"/>
  <c r="J11" i="10"/>
  <c r="J10" i="10"/>
  <c r="J9" i="10"/>
  <c r="J8" i="10"/>
  <c r="J7" i="10"/>
  <c r="J5" i="10"/>
  <c r="J4" i="10"/>
  <c r="J3" i="10"/>
  <c r="J2" i="10"/>
  <c r="G19" i="10" l="1"/>
  <c r="G20" i="10" s="1"/>
  <c r="I19" i="10"/>
  <c r="J19" i="10" s="1"/>
  <c r="F21" i="10"/>
  <c r="F22" i="10" s="1"/>
  <c r="F23" i="10" s="1"/>
  <c r="F24" i="10" s="1"/>
  <c r="F25" i="10" s="1"/>
  <c r="F26" i="10" s="1"/>
  <c r="F27" i="10" s="1"/>
  <c r="F28" i="10" s="1"/>
  <c r="F29" i="10" s="1"/>
  <c r="F30" i="10" s="1"/>
  <c r="F31" i="10" s="1"/>
  <c r="F32" i="10" s="1"/>
  <c r="F33" i="10" s="1"/>
  <c r="F34" i="10" s="1"/>
  <c r="F35" i="10" s="1"/>
  <c r="F36" i="10" s="1"/>
  <c r="F37" i="10" s="1"/>
  <c r="F38" i="10" s="1"/>
  <c r="F39" i="10" s="1"/>
  <c r="F40" i="10" s="1"/>
  <c r="F41" i="10" s="1"/>
  <c r="F42" i="10" s="1"/>
  <c r="F43" i="10" s="1"/>
  <c r="F44" i="10" s="1"/>
  <c r="F45" i="10" s="1"/>
  <c r="F46" i="10" s="1"/>
  <c r="F47" i="10" s="1"/>
  <c r="F48" i="10" s="1"/>
  <c r="F49" i="10" s="1"/>
  <c r="F50" i="10" s="1"/>
  <c r="F51" i="10" s="1"/>
  <c r="F52" i="10" s="1"/>
  <c r="F53" i="10" s="1"/>
  <c r="F54" i="10" s="1"/>
  <c r="F55" i="10" s="1"/>
  <c r="F56" i="10" s="1"/>
  <c r="F57" i="10" s="1"/>
  <c r="F58" i="10" s="1"/>
  <c r="F59" i="10" s="1"/>
  <c r="F60" i="10" s="1"/>
  <c r="F61" i="10" s="1"/>
  <c r="F62" i="10" s="1"/>
  <c r="F63" i="10" s="1"/>
  <c r="F64" i="10" s="1"/>
  <c r="F65" i="10" s="1"/>
  <c r="F66" i="10" s="1"/>
  <c r="F67" i="10" s="1"/>
  <c r="F68" i="10" s="1"/>
  <c r="F69" i="10" s="1"/>
  <c r="F70" i="10" s="1"/>
  <c r="F71" i="10" s="1"/>
  <c r="F72" i="10" s="1"/>
  <c r="F73" i="10" s="1"/>
  <c r="F74" i="10" s="1"/>
  <c r="F75" i="10" s="1"/>
  <c r="F76" i="10" s="1"/>
  <c r="F77" i="10" s="1"/>
  <c r="F78" i="10" s="1"/>
  <c r="F79" i="10" s="1"/>
  <c r="F80" i="10" s="1"/>
  <c r="F81" i="10" s="1"/>
  <c r="F82" i="10" s="1"/>
  <c r="F83" i="10" s="1"/>
  <c r="F84" i="10" s="1"/>
  <c r="F85" i="10" s="1"/>
  <c r="F86" i="10" s="1"/>
  <c r="F87" i="10" s="1"/>
  <c r="F88" i="10" s="1"/>
  <c r="F89" i="10" s="1"/>
  <c r="F90" i="10" s="1"/>
  <c r="F91" i="10" s="1"/>
  <c r="F92" i="10" s="1"/>
  <c r="F93" i="10" s="1"/>
  <c r="F94" i="10" s="1"/>
  <c r="F95" i="10" s="1"/>
  <c r="F96" i="10" s="1"/>
  <c r="F97" i="10" s="1"/>
  <c r="F98" i="10" s="1"/>
  <c r="F99" i="10" s="1"/>
  <c r="F100" i="10" s="1"/>
  <c r="F101" i="10" s="1"/>
  <c r="F102" i="10" s="1"/>
  <c r="F103" i="10" s="1"/>
  <c r="F104" i="10" s="1"/>
  <c r="F105" i="10" s="1"/>
  <c r="F106" i="10" s="1"/>
  <c r="F107" i="10" s="1"/>
  <c r="F108" i="10" s="1"/>
  <c r="F109" i="10" s="1"/>
  <c r="F110" i="10" s="1"/>
  <c r="F111" i="10" s="1"/>
  <c r="F112" i="10" s="1"/>
  <c r="F113" i="10" s="1"/>
  <c r="F114" i="10" s="1"/>
  <c r="F115" i="10" s="1"/>
  <c r="F116" i="10" s="1"/>
  <c r="K18" i="10"/>
  <c r="C19" i="10"/>
  <c r="C20" i="10" s="1"/>
  <c r="C21" i="10" s="1"/>
  <c r="C22" i="10" s="1"/>
  <c r="W17" i="10"/>
  <c r="Y17" i="10" s="1"/>
  <c r="P4" i="10"/>
  <c r="P18" i="10" s="1"/>
  <c r="I20" i="10" l="1"/>
  <c r="J20" i="10" s="1"/>
  <c r="O17" i="10"/>
  <c r="M17" i="10" s="1"/>
  <c r="N17" i="10" s="1"/>
  <c r="G21" i="10"/>
  <c r="G22" i="10" s="1"/>
  <c r="G23" i="10" s="1"/>
  <c r="G24" i="10" s="1"/>
  <c r="G25" i="10" s="1"/>
  <c r="G26" i="10" s="1"/>
  <c r="G27" i="10" s="1"/>
  <c r="G28" i="10" s="1"/>
  <c r="G29" i="10" s="1"/>
  <c r="G30" i="10" s="1"/>
  <c r="G31" i="10" s="1"/>
  <c r="G32" i="10" s="1"/>
  <c r="G33" i="10" s="1"/>
  <c r="G34" i="10" s="1"/>
  <c r="G35" i="10" s="1"/>
  <c r="G36" i="10" s="1"/>
  <c r="G37" i="10" s="1"/>
  <c r="G38" i="10" s="1"/>
  <c r="G39" i="10" s="1"/>
  <c r="G40" i="10" s="1"/>
  <c r="G41" i="10" s="1"/>
  <c r="G42" i="10" s="1"/>
  <c r="G43" i="10" s="1"/>
  <c r="G44" i="10" s="1"/>
  <c r="G45" i="10" s="1"/>
  <c r="G46" i="10" s="1"/>
  <c r="G47" i="10" s="1"/>
  <c r="G48" i="10" s="1"/>
  <c r="G49" i="10" s="1"/>
  <c r="G50" i="10" s="1"/>
  <c r="G51" i="10" s="1"/>
  <c r="G52" i="10" s="1"/>
  <c r="G53" i="10" s="1"/>
  <c r="G54" i="10" s="1"/>
  <c r="G55" i="10" s="1"/>
  <c r="G56" i="10" s="1"/>
  <c r="G57" i="10" s="1"/>
  <c r="G58" i="10" s="1"/>
  <c r="G59" i="10" s="1"/>
  <c r="G60" i="10" s="1"/>
  <c r="G61" i="10" s="1"/>
  <c r="G62" i="10" s="1"/>
  <c r="G63" i="10" s="1"/>
  <c r="G64" i="10" s="1"/>
  <c r="G65" i="10" s="1"/>
  <c r="G66" i="10" s="1"/>
  <c r="G67" i="10" s="1"/>
  <c r="G68" i="10" s="1"/>
  <c r="G69" i="10" s="1"/>
  <c r="G70" i="10" s="1"/>
  <c r="G71" i="10" s="1"/>
  <c r="G72" i="10" s="1"/>
  <c r="G73" i="10" s="1"/>
  <c r="G74" i="10" s="1"/>
  <c r="G75" i="10" s="1"/>
  <c r="G76" i="10" s="1"/>
  <c r="G77" i="10" s="1"/>
  <c r="G78" i="10" s="1"/>
  <c r="G79" i="10" s="1"/>
  <c r="G80" i="10" s="1"/>
  <c r="G81" i="10" s="1"/>
  <c r="G82" i="10" s="1"/>
  <c r="G83" i="10" s="1"/>
  <c r="G84" i="10" s="1"/>
  <c r="G85" i="10" s="1"/>
  <c r="G86" i="10" s="1"/>
  <c r="G87" i="10" s="1"/>
  <c r="G88" i="10" s="1"/>
  <c r="G89" i="10" s="1"/>
  <c r="G90" i="10" s="1"/>
  <c r="G91" i="10" s="1"/>
  <c r="G92" i="10" s="1"/>
  <c r="G93" i="10" s="1"/>
  <c r="G94" i="10" s="1"/>
  <c r="G95" i="10" s="1"/>
  <c r="G96" i="10" s="1"/>
  <c r="G97" i="10" s="1"/>
  <c r="G98" i="10" s="1"/>
  <c r="G99" i="10" s="1"/>
  <c r="G100" i="10" s="1"/>
  <c r="G101" i="10" s="1"/>
  <c r="G102" i="10" s="1"/>
  <c r="G103" i="10" s="1"/>
  <c r="G104" i="10" s="1"/>
  <c r="G105" i="10" s="1"/>
  <c r="G106" i="10" s="1"/>
  <c r="G107" i="10" s="1"/>
  <c r="G108" i="10" s="1"/>
  <c r="G109" i="10" s="1"/>
  <c r="G110" i="10" s="1"/>
  <c r="G111" i="10" s="1"/>
  <c r="G112" i="10" s="1"/>
  <c r="G113" i="10" s="1"/>
  <c r="G114" i="10" s="1"/>
  <c r="G115" i="10" s="1"/>
  <c r="G116" i="10" s="1"/>
  <c r="C23" i="10"/>
  <c r="Z17" i="10"/>
  <c r="X17" i="10"/>
  <c r="Q18" i="10"/>
  <c r="K19" i="10"/>
  <c r="P19" i="10"/>
  <c r="W18" i="10"/>
  <c r="Z18" i="10" s="1"/>
  <c r="O18" i="10"/>
  <c r="M18" i="10" s="1"/>
  <c r="N18" i="10" s="1"/>
  <c r="I21" i="10" l="1"/>
  <c r="I22" i="10" s="1"/>
  <c r="R17" i="10"/>
  <c r="T17" i="10" s="1"/>
  <c r="P20" i="10"/>
  <c r="K20" i="10"/>
  <c r="C24" i="10"/>
  <c r="Q19" i="10"/>
  <c r="Y18" i="10"/>
  <c r="W19" i="10"/>
  <c r="Z19" i="10" s="1"/>
  <c r="O19" i="10"/>
  <c r="M19" i="10" s="1"/>
  <c r="N19" i="10" s="1"/>
  <c r="X18" i="10"/>
  <c r="AC17" i="10"/>
  <c r="AB17" i="10"/>
  <c r="R18" i="10"/>
  <c r="A11" i="13"/>
  <c r="A12" i="13" s="1"/>
  <c r="A13" i="13" s="1"/>
  <c r="J21" i="10" l="1"/>
  <c r="J22" i="10" s="1"/>
  <c r="AD17" i="10"/>
  <c r="AE17" i="10" s="1"/>
  <c r="X19" i="10"/>
  <c r="AB19" i="10" s="1"/>
  <c r="AD19" i="10" s="1"/>
  <c r="AE19" i="10" s="1"/>
  <c r="Q20" i="10"/>
  <c r="C25" i="10"/>
  <c r="W20" i="10"/>
  <c r="Z20" i="10" s="1"/>
  <c r="O20" i="10"/>
  <c r="M20" i="10" s="1"/>
  <c r="N20" i="10" s="1"/>
  <c r="I23" i="10"/>
  <c r="AB18" i="10"/>
  <c r="AD18" i="10" s="1"/>
  <c r="AE18" i="10" s="1"/>
  <c r="AC18" i="10"/>
  <c r="T18" i="10"/>
  <c r="U18" i="10" s="1"/>
  <c r="S18" i="10"/>
  <c r="Y19" i="10"/>
  <c r="R19" i="10"/>
  <c r="A14" i="13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M5" i="10"/>
  <c r="K21" i="10" l="1"/>
  <c r="W21" i="10" s="1"/>
  <c r="Z21" i="10" s="1"/>
  <c r="P21" i="10"/>
  <c r="AC19" i="10"/>
  <c r="I24" i="10"/>
  <c r="J23" i="10"/>
  <c r="Y20" i="10"/>
  <c r="C26" i="10"/>
  <c r="X20" i="10"/>
  <c r="R20" i="10"/>
  <c r="T19" i="10"/>
  <c r="U19" i="10" s="1"/>
  <c r="S19" i="10"/>
  <c r="K22" i="10" l="1"/>
  <c r="W22" i="10" s="1"/>
  <c r="Z22" i="10" s="1"/>
  <c r="O21" i="10"/>
  <c r="M21" i="10" s="1"/>
  <c r="N21" i="10" s="1"/>
  <c r="P22" i="10"/>
  <c r="Q21" i="10"/>
  <c r="X21" i="10"/>
  <c r="AB21" i="10" s="1"/>
  <c r="S20" i="10"/>
  <c r="T20" i="10"/>
  <c r="U20" i="10" s="1"/>
  <c r="AB20" i="10"/>
  <c r="AC20" i="10"/>
  <c r="Y21" i="10"/>
  <c r="C27" i="10"/>
  <c r="I25" i="10"/>
  <c r="J24" i="10"/>
  <c r="K23" i="10" l="1"/>
  <c r="O23" i="10" s="1"/>
  <c r="M23" i="10" s="1"/>
  <c r="N23" i="10" s="1"/>
  <c r="O22" i="10"/>
  <c r="M22" i="10" s="1"/>
  <c r="N22" i="10" s="1"/>
  <c r="AD21" i="10"/>
  <c r="AE21" i="10" s="1"/>
  <c r="P23" i="10"/>
  <c r="Q22" i="10"/>
  <c r="R21" i="10"/>
  <c r="T21" i="10" s="1"/>
  <c r="U21" i="10" s="1"/>
  <c r="AD20" i="10"/>
  <c r="AE20" i="10" s="1"/>
  <c r="AC21" i="10"/>
  <c r="Y22" i="10"/>
  <c r="X22" i="10"/>
  <c r="AB22" i="10" s="1"/>
  <c r="I26" i="10"/>
  <c r="J25" i="10"/>
  <c r="C28" i="10"/>
  <c r="AD22" i="10" l="1"/>
  <c r="AE22" i="10" s="1"/>
  <c r="K24" i="10"/>
  <c r="W24" i="10" s="1"/>
  <c r="Z24" i="10" s="1"/>
  <c r="W23" i="10"/>
  <c r="Z23" i="10" s="1"/>
  <c r="P24" i="10"/>
  <c r="Q24" i="10" s="1"/>
  <c r="Q23" i="10"/>
  <c r="R22" i="10"/>
  <c r="T22" i="10" s="1"/>
  <c r="U22" i="10" s="1"/>
  <c r="S21" i="10"/>
  <c r="AC22" i="10"/>
  <c r="R23" i="10"/>
  <c r="S23" i="10" s="1"/>
  <c r="I27" i="10"/>
  <c r="J26" i="10"/>
  <c r="C29" i="10"/>
  <c r="K25" i="10" l="1"/>
  <c r="K26" i="10" s="1"/>
  <c r="O24" i="10"/>
  <c r="M24" i="10" s="1"/>
  <c r="N24" i="10" s="1"/>
  <c r="Y23" i="10"/>
  <c r="P25" i="10"/>
  <c r="S22" i="10"/>
  <c r="X23" i="10"/>
  <c r="AB23" i="10" s="1"/>
  <c r="AD23" i="10" s="1"/>
  <c r="AE23" i="10" s="1"/>
  <c r="T23" i="10"/>
  <c r="U23" i="10" s="1"/>
  <c r="Y24" i="10"/>
  <c r="W25" i="10"/>
  <c r="Z25" i="10" s="1"/>
  <c r="C30" i="10"/>
  <c r="X24" i="10"/>
  <c r="I28" i="10"/>
  <c r="J27" i="10"/>
  <c r="O25" i="10" l="1"/>
  <c r="M25" i="10" s="1"/>
  <c r="N25" i="10" s="1"/>
  <c r="R24" i="10"/>
  <c r="S24" i="10" s="1"/>
  <c r="P26" i="10"/>
  <c r="Q26" i="10" s="1"/>
  <c r="Q25" i="10"/>
  <c r="AC23" i="10"/>
  <c r="Y25" i="10"/>
  <c r="X25" i="10"/>
  <c r="AB25" i="10" s="1"/>
  <c r="C31" i="10"/>
  <c r="AB24" i="10"/>
  <c r="AD24" i="10" s="1"/>
  <c r="AE24" i="10" s="1"/>
  <c r="AC24" i="10"/>
  <c r="I29" i="10"/>
  <c r="J28" i="10"/>
  <c r="W26" i="10"/>
  <c r="Z26" i="10" s="1"/>
  <c r="O26" i="10"/>
  <c r="M26" i="10" s="1"/>
  <c r="N26" i="10" s="1"/>
  <c r="K27" i="10"/>
  <c r="R25" i="10" l="1"/>
  <c r="T25" i="10" s="1"/>
  <c r="U25" i="10" s="1"/>
  <c r="AD25" i="10"/>
  <c r="AE25" i="10" s="1"/>
  <c r="T24" i="10"/>
  <c r="U24" i="10" s="1"/>
  <c r="P27" i="10"/>
  <c r="Q27" i="10" s="1"/>
  <c r="AC25" i="10"/>
  <c r="X26" i="10"/>
  <c r="C32" i="10"/>
  <c r="W27" i="10"/>
  <c r="Z27" i="10" s="1"/>
  <c r="O27" i="10"/>
  <c r="M27" i="10" s="1"/>
  <c r="N27" i="10" s="1"/>
  <c r="K28" i="10"/>
  <c r="Y26" i="10"/>
  <c r="R26" i="10"/>
  <c r="I30" i="10"/>
  <c r="J29" i="10"/>
  <c r="S25" i="10" l="1"/>
  <c r="P28" i="10"/>
  <c r="Q28" i="10" s="1"/>
  <c r="X27" i="10"/>
  <c r="AC27" i="10" s="1"/>
  <c r="AB26" i="10"/>
  <c r="AD26" i="10" s="1"/>
  <c r="AE26" i="10" s="1"/>
  <c r="AC26" i="10"/>
  <c r="R27" i="10"/>
  <c r="I31" i="10"/>
  <c r="J30" i="10"/>
  <c r="S26" i="10"/>
  <c r="T26" i="10"/>
  <c r="U26" i="10" s="1"/>
  <c r="W28" i="10"/>
  <c r="Z28" i="10" s="1"/>
  <c r="O28" i="10"/>
  <c r="M28" i="10" s="1"/>
  <c r="N28" i="10" s="1"/>
  <c r="K29" i="10"/>
  <c r="C33" i="10"/>
  <c r="Y27" i="10"/>
  <c r="P29" i="10" l="1"/>
  <c r="Q29" i="10" s="1"/>
  <c r="AB27" i="10"/>
  <c r="AD27" i="10" s="1"/>
  <c r="AE27" i="10" s="1"/>
  <c r="R28" i="10"/>
  <c r="T28" i="10" s="1"/>
  <c r="U28" i="10" s="1"/>
  <c r="S27" i="10"/>
  <c r="T27" i="10"/>
  <c r="U27" i="10" s="1"/>
  <c r="I32" i="10"/>
  <c r="J31" i="10"/>
  <c r="Y28" i="10"/>
  <c r="C34" i="10"/>
  <c r="W29" i="10"/>
  <c r="Z29" i="10" s="1"/>
  <c r="O29" i="10"/>
  <c r="M29" i="10" s="1"/>
  <c r="N29" i="10" s="1"/>
  <c r="K30" i="10"/>
  <c r="X28" i="10"/>
  <c r="P30" i="10" l="1"/>
  <c r="Q30" i="10" s="1"/>
  <c r="S28" i="10"/>
  <c r="X29" i="10"/>
  <c r="AC29" i="10" s="1"/>
  <c r="R29" i="10"/>
  <c r="AB28" i="10"/>
  <c r="AD28" i="10" s="1"/>
  <c r="AE28" i="10" s="1"/>
  <c r="AC28" i="10"/>
  <c r="W30" i="10"/>
  <c r="Z30" i="10" s="1"/>
  <c r="O30" i="10"/>
  <c r="M30" i="10" s="1"/>
  <c r="N30" i="10" s="1"/>
  <c r="K31" i="10"/>
  <c r="C35" i="10"/>
  <c r="I33" i="10"/>
  <c r="J32" i="10"/>
  <c r="Y29" i="10"/>
  <c r="P31" i="10" l="1"/>
  <c r="Q31" i="10" s="1"/>
  <c r="AB29" i="10"/>
  <c r="AD29" i="10" s="1"/>
  <c r="AE29" i="10" s="1"/>
  <c r="R30" i="10"/>
  <c r="T30" i="10" s="1"/>
  <c r="U30" i="10" s="1"/>
  <c r="J33" i="10"/>
  <c r="I34" i="10"/>
  <c r="Y30" i="10"/>
  <c r="C36" i="10"/>
  <c r="W31" i="10"/>
  <c r="Z31" i="10" s="1"/>
  <c r="O31" i="10"/>
  <c r="M31" i="10" s="1"/>
  <c r="N31" i="10" s="1"/>
  <c r="K32" i="10"/>
  <c r="X30" i="10"/>
  <c r="S29" i="10"/>
  <c r="T29" i="10"/>
  <c r="U29" i="10" s="1"/>
  <c r="P32" i="10" l="1"/>
  <c r="P33" i="10" s="1"/>
  <c r="S30" i="10"/>
  <c r="AB30" i="10"/>
  <c r="AD30" i="10" s="1"/>
  <c r="AE30" i="10" s="1"/>
  <c r="AC30" i="10"/>
  <c r="C37" i="10"/>
  <c r="Y31" i="10"/>
  <c r="W32" i="10"/>
  <c r="Z32" i="10" s="1"/>
  <c r="O32" i="10"/>
  <c r="M32" i="10" s="1"/>
  <c r="N32" i="10" s="1"/>
  <c r="K33" i="10"/>
  <c r="I35" i="10"/>
  <c r="J34" i="10"/>
  <c r="X31" i="10"/>
  <c r="AB31" i="10" s="1"/>
  <c r="R31" i="10"/>
  <c r="Q32" i="10" l="1"/>
  <c r="X32" i="10"/>
  <c r="AB32" i="10" s="1"/>
  <c r="AD32" i="10" s="1"/>
  <c r="AE32" i="10" s="1"/>
  <c r="Y32" i="10"/>
  <c r="AD31" i="10"/>
  <c r="AE31" i="10" s="1"/>
  <c r="AC31" i="10"/>
  <c r="R32" i="10"/>
  <c r="W33" i="10"/>
  <c r="Z33" i="10" s="1"/>
  <c r="O33" i="10"/>
  <c r="M33" i="10" s="1"/>
  <c r="N33" i="10" s="1"/>
  <c r="P34" i="10"/>
  <c r="K34" i="10"/>
  <c r="C38" i="10"/>
  <c r="I36" i="10"/>
  <c r="J35" i="10"/>
  <c r="S31" i="10"/>
  <c r="T31" i="10"/>
  <c r="U31" i="10" s="1"/>
  <c r="Q33" i="10"/>
  <c r="AC32" i="10" l="1"/>
  <c r="R33" i="10"/>
  <c r="S33" i="10" s="1"/>
  <c r="W34" i="10"/>
  <c r="Z34" i="10" s="1"/>
  <c r="O34" i="10"/>
  <c r="M34" i="10" s="1"/>
  <c r="N34" i="10" s="1"/>
  <c r="P35" i="10"/>
  <c r="K35" i="10"/>
  <c r="S32" i="10"/>
  <c r="T32" i="10"/>
  <c r="U32" i="10" s="1"/>
  <c r="Y33" i="10"/>
  <c r="Q34" i="10"/>
  <c r="I37" i="10"/>
  <c r="J36" i="10"/>
  <c r="X33" i="10"/>
  <c r="C39" i="10"/>
  <c r="X34" i="10" l="1"/>
  <c r="AB34" i="10" s="1"/>
  <c r="AD34" i="10" s="1"/>
  <c r="AE34" i="10" s="1"/>
  <c r="Y34" i="10"/>
  <c r="T33" i="10"/>
  <c r="U33" i="10" s="1"/>
  <c r="C40" i="10"/>
  <c r="I38" i="10"/>
  <c r="J37" i="10"/>
  <c r="R34" i="10"/>
  <c r="W35" i="10"/>
  <c r="Z35" i="10" s="1"/>
  <c r="O35" i="10"/>
  <c r="M35" i="10" s="1"/>
  <c r="N35" i="10" s="1"/>
  <c r="P36" i="10"/>
  <c r="K36" i="10"/>
  <c r="AB33" i="10"/>
  <c r="AD33" i="10" s="1"/>
  <c r="AE33" i="10" s="1"/>
  <c r="AC33" i="10"/>
  <c r="Q35" i="10"/>
  <c r="AC34" i="10" l="1"/>
  <c r="Y35" i="10"/>
  <c r="X35" i="10"/>
  <c r="W36" i="10"/>
  <c r="Z36" i="10" s="1"/>
  <c r="O36" i="10"/>
  <c r="M36" i="10" s="1"/>
  <c r="N36" i="10" s="1"/>
  <c r="P37" i="10"/>
  <c r="K37" i="10"/>
  <c r="T34" i="10"/>
  <c r="U34" i="10" s="1"/>
  <c r="S34" i="10"/>
  <c r="C41" i="10"/>
  <c r="R35" i="10"/>
  <c r="Q36" i="10"/>
  <c r="I39" i="10"/>
  <c r="J38" i="10"/>
  <c r="Z9" i="10"/>
  <c r="X36" i="10" l="1"/>
  <c r="AB36" i="10" s="1"/>
  <c r="AD36" i="10" s="1"/>
  <c r="AE36" i="10" s="1"/>
  <c r="Y36" i="10"/>
  <c r="R36" i="10"/>
  <c r="T36" i="10" s="1"/>
  <c r="U36" i="10" s="1"/>
  <c r="I40" i="10"/>
  <c r="J39" i="10"/>
  <c r="S35" i="10"/>
  <c r="T35" i="10"/>
  <c r="U35" i="10" s="1"/>
  <c r="Q37" i="10"/>
  <c r="C42" i="10"/>
  <c r="W37" i="10"/>
  <c r="Z37" i="10" s="1"/>
  <c r="O37" i="10"/>
  <c r="M37" i="10" s="1"/>
  <c r="N37" i="10" s="1"/>
  <c r="P38" i="10"/>
  <c r="K38" i="10"/>
  <c r="AB35" i="10"/>
  <c r="AD35" i="10" s="1"/>
  <c r="AE35" i="10" s="1"/>
  <c r="AC35" i="10"/>
  <c r="S36" i="10" l="1"/>
  <c r="AC36" i="10"/>
  <c r="X37" i="10"/>
  <c r="AB37" i="10" s="1"/>
  <c r="AD37" i="10" s="1"/>
  <c r="AE37" i="10" s="1"/>
  <c r="R37" i="10"/>
  <c r="I41" i="10"/>
  <c r="J40" i="10"/>
  <c r="W38" i="10"/>
  <c r="Z38" i="10" s="1"/>
  <c r="O38" i="10"/>
  <c r="M38" i="10" s="1"/>
  <c r="N38" i="10" s="1"/>
  <c r="P39" i="10"/>
  <c r="K39" i="10"/>
  <c r="C43" i="10"/>
  <c r="Q38" i="10"/>
  <c r="Y37" i="10"/>
  <c r="Y38" i="10" l="1"/>
  <c r="X38" i="10"/>
  <c r="AC38" i="10" s="1"/>
  <c r="AC37" i="10"/>
  <c r="R38" i="10"/>
  <c r="S38" i="10" s="1"/>
  <c r="Q39" i="10"/>
  <c r="C44" i="10"/>
  <c r="S37" i="10"/>
  <c r="T37" i="10"/>
  <c r="U37" i="10" s="1"/>
  <c r="I42" i="10"/>
  <c r="J41" i="10"/>
  <c r="W39" i="10"/>
  <c r="Z39" i="10" s="1"/>
  <c r="O39" i="10"/>
  <c r="M39" i="10" s="1"/>
  <c r="N39" i="10" s="1"/>
  <c r="P40" i="10"/>
  <c r="K40" i="10"/>
  <c r="AB38" i="10" l="1"/>
  <c r="AD38" i="10" s="1"/>
  <c r="AE38" i="10" s="1"/>
  <c r="T38" i="10"/>
  <c r="U38" i="10" s="1"/>
  <c r="I43" i="10"/>
  <c r="J42" i="10"/>
  <c r="Y39" i="10"/>
  <c r="W40" i="10"/>
  <c r="Z40" i="10" s="1"/>
  <c r="O40" i="10"/>
  <c r="M40" i="10" s="1"/>
  <c r="N40" i="10" s="1"/>
  <c r="P41" i="10"/>
  <c r="K41" i="10"/>
  <c r="C45" i="10"/>
  <c r="X39" i="10"/>
  <c r="Q40" i="10"/>
  <c r="R39" i="10"/>
  <c r="R40" i="10" l="1"/>
  <c r="S40" i="10" s="1"/>
  <c r="X40" i="10"/>
  <c r="AB40" i="10" s="1"/>
  <c r="AD40" i="10" s="1"/>
  <c r="AE40" i="10" s="1"/>
  <c r="W41" i="10"/>
  <c r="Z41" i="10" s="1"/>
  <c r="O41" i="10"/>
  <c r="M41" i="10" s="1"/>
  <c r="N41" i="10" s="1"/>
  <c r="P42" i="10"/>
  <c r="K42" i="10"/>
  <c r="AB39" i="10"/>
  <c r="AC39" i="10"/>
  <c r="Q41" i="10"/>
  <c r="S39" i="10"/>
  <c r="T39" i="10"/>
  <c r="U39" i="10" s="1"/>
  <c r="Y40" i="10"/>
  <c r="C46" i="10"/>
  <c r="I44" i="10"/>
  <c r="J43" i="10"/>
  <c r="R41" i="10" l="1"/>
  <c r="T41" i="10" s="1"/>
  <c r="U41" i="10" s="1"/>
  <c r="T40" i="10"/>
  <c r="U40" i="10" s="1"/>
  <c r="AC40" i="10"/>
  <c r="Y41" i="10"/>
  <c r="X41" i="10"/>
  <c r="AB41" i="10" s="1"/>
  <c r="AD41" i="10" s="1"/>
  <c r="AE41" i="10" s="1"/>
  <c r="Q42" i="10"/>
  <c r="W42" i="10"/>
  <c r="Z42" i="10" s="1"/>
  <c r="O42" i="10"/>
  <c r="M42" i="10" s="1"/>
  <c r="N42" i="10" s="1"/>
  <c r="P43" i="10"/>
  <c r="K43" i="10"/>
  <c r="C47" i="10"/>
  <c r="I45" i="10"/>
  <c r="J44" i="10"/>
  <c r="AD39" i="10"/>
  <c r="AE39" i="10" s="1"/>
  <c r="S41" i="10" l="1"/>
  <c r="AC41" i="10"/>
  <c r="Y42" i="10"/>
  <c r="I46" i="10"/>
  <c r="J45" i="10"/>
  <c r="Q43" i="10"/>
  <c r="C48" i="10"/>
  <c r="X42" i="10"/>
  <c r="W43" i="10"/>
  <c r="Z43" i="10" s="1"/>
  <c r="O43" i="10"/>
  <c r="M43" i="10" s="1"/>
  <c r="N43" i="10" s="1"/>
  <c r="P44" i="10"/>
  <c r="K44" i="10"/>
  <c r="R42" i="10"/>
  <c r="X43" i="10" l="1"/>
  <c r="AC43" i="10" s="1"/>
  <c r="Q44" i="10"/>
  <c r="R43" i="10"/>
  <c r="S42" i="10"/>
  <c r="T42" i="10"/>
  <c r="U42" i="10" s="1"/>
  <c r="C49" i="10"/>
  <c r="W44" i="10"/>
  <c r="Z44" i="10" s="1"/>
  <c r="O44" i="10"/>
  <c r="M44" i="10" s="1"/>
  <c r="N44" i="10" s="1"/>
  <c r="K45" i="10"/>
  <c r="P45" i="10"/>
  <c r="AB42" i="10"/>
  <c r="AC42" i="10"/>
  <c r="Y43" i="10"/>
  <c r="I47" i="10"/>
  <c r="J46" i="10"/>
  <c r="AB43" i="10" l="1"/>
  <c r="AD43" i="10" s="1"/>
  <c r="AE43" i="10" s="1"/>
  <c r="AD42" i="10"/>
  <c r="AE42" i="10" s="1"/>
  <c r="Q45" i="10"/>
  <c r="S43" i="10"/>
  <c r="T43" i="10"/>
  <c r="U43" i="10" s="1"/>
  <c r="Y44" i="10"/>
  <c r="I48" i="10"/>
  <c r="J47" i="10"/>
  <c r="W45" i="10"/>
  <c r="Z45" i="10" s="1"/>
  <c r="O45" i="10"/>
  <c r="M45" i="10" s="1"/>
  <c r="N45" i="10" s="1"/>
  <c r="K46" i="10"/>
  <c r="P46" i="10"/>
  <c r="C50" i="10"/>
  <c r="X44" i="10"/>
  <c r="R44" i="10"/>
  <c r="C51" i="10" l="1"/>
  <c r="S44" i="10"/>
  <c r="T44" i="10"/>
  <c r="U44" i="10" s="1"/>
  <c r="Q46" i="10"/>
  <c r="R45" i="10"/>
  <c r="X45" i="10"/>
  <c r="AB44" i="10"/>
  <c r="AC44" i="10"/>
  <c r="W46" i="10"/>
  <c r="Z46" i="10" s="1"/>
  <c r="O46" i="10"/>
  <c r="M46" i="10" s="1"/>
  <c r="N46" i="10" s="1"/>
  <c r="K47" i="10"/>
  <c r="P47" i="10"/>
  <c r="I49" i="10"/>
  <c r="J48" i="10"/>
  <c r="Y45" i="10"/>
  <c r="O47" i="10" l="1"/>
  <c r="M47" i="10" s="1"/>
  <c r="N47" i="10" s="1"/>
  <c r="P48" i="10"/>
  <c r="K48" i="10"/>
  <c r="W47" i="10"/>
  <c r="Z47" i="10" s="1"/>
  <c r="AD44" i="10"/>
  <c r="AE44" i="10" s="1"/>
  <c r="Y46" i="10"/>
  <c r="Q47" i="10"/>
  <c r="AB45" i="10"/>
  <c r="AD45" i="10" s="1"/>
  <c r="AE45" i="10" s="1"/>
  <c r="AC45" i="10"/>
  <c r="X46" i="10"/>
  <c r="I50" i="10"/>
  <c r="J49" i="10"/>
  <c r="S45" i="10"/>
  <c r="T45" i="10"/>
  <c r="U45" i="10" s="1"/>
  <c r="R46" i="10"/>
  <c r="C52" i="10"/>
  <c r="R47" i="10" l="1"/>
  <c r="T47" i="10" s="1"/>
  <c r="U47" i="10" s="1"/>
  <c r="S46" i="10"/>
  <c r="T46" i="10"/>
  <c r="U46" i="10" s="1"/>
  <c r="J50" i="10"/>
  <c r="I51" i="10"/>
  <c r="Y47" i="10"/>
  <c r="O48" i="10"/>
  <c r="M48" i="10" s="1"/>
  <c r="N48" i="10" s="1"/>
  <c r="K49" i="10"/>
  <c r="W48" i="10"/>
  <c r="Z48" i="10" s="1"/>
  <c r="P49" i="10"/>
  <c r="AB46" i="10"/>
  <c r="AD46" i="10" s="1"/>
  <c r="AE46" i="10" s="1"/>
  <c r="AC46" i="10"/>
  <c r="Q48" i="10"/>
  <c r="C53" i="10"/>
  <c r="X47" i="10"/>
  <c r="S47" i="10" l="1"/>
  <c r="R48" i="10"/>
  <c r="S48" i="10" s="1"/>
  <c r="X48" i="10"/>
  <c r="AB48" i="10" s="1"/>
  <c r="AD48" i="10" s="1"/>
  <c r="AE48" i="10" s="1"/>
  <c r="Y48" i="10"/>
  <c r="AC47" i="10"/>
  <c r="AB47" i="10"/>
  <c r="AD47" i="10" s="1"/>
  <c r="AE47" i="10" s="1"/>
  <c r="I52" i="10"/>
  <c r="J51" i="10"/>
  <c r="C54" i="10"/>
  <c r="Q49" i="10"/>
  <c r="O49" i="10"/>
  <c r="M49" i="10" s="1"/>
  <c r="N49" i="10" s="1"/>
  <c r="P50" i="10"/>
  <c r="K50" i="10"/>
  <c r="W49" i="10"/>
  <c r="Z49" i="10" s="1"/>
  <c r="AC48" i="10" l="1"/>
  <c r="T48" i="10"/>
  <c r="U48" i="10" s="1"/>
  <c r="O50" i="10"/>
  <c r="M50" i="10" s="1"/>
  <c r="N50" i="10" s="1"/>
  <c r="K51" i="10"/>
  <c r="W50" i="10"/>
  <c r="Z50" i="10" s="1"/>
  <c r="P51" i="10"/>
  <c r="Y49" i="10"/>
  <c r="Q50" i="10"/>
  <c r="R49" i="10"/>
  <c r="C55" i="10"/>
  <c r="X49" i="10"/>
  <c r="I53" i="10"/>
  <c r="J52" i="10"/>
  <c r="R50" i="10" l="1"/>
  <c r="T50" i="10" s="1"/>
  <c r="U50" i="10" s="1"/>
  <c r="Y50" i="10"/>
  <c r="X50" i="10"/>
  <c r="AB50" i="10" s="1"/>
  <c r="AD50" i="10" s="1"/>
  <c r="AE50" i="10" s="1"/>
  <c r="C56" i="10"/>
  <c r="Q51" i="10"/>
  <c r="I54" i="10"/>
  <c r="J53" i="10"/>
  <c r="S49" i="10"/>
  <c r="T49" i="10"/>
  <c r="U49" i="10" s="1"/>
  <c r="K52" i="10"/>
  <c r="W51" i="10"/>
  <c r="Z51" i="10" s="1"/>
  <c r="O51" i="10"/>
  <c r="M51" i="10" s="1"/>
  <c r="N51" i="10" s="1"/>
  <c r="P52" i="10"/>
  <c r="AC49" i="10"/>
  <c r="AB49" i="10"/>
  <c r="AD49" i="10" s="1"/>
  <c r="AE49" i="10" s="1"/>
  <c r="S50" i="10" l="1"/>
  <c r="AC50" i="10"/>
  <c r="Y51" i="10"/>
  <c r="Q52" i="10"/>
  <c r="X51" i="10"/>
  <c r="R51" i="10"/>
  <c r="C57" i="10"/>
  <c r="K53" i="10"/>
  <c r="W52" i="10"/>
  <c r="Z52" i="10" s="1"/>
  <c r="O52" i="10"/>
  <c r="M52" i="10" s="1"/>
  <c r="N52" i="10" s="1"/>
  <c r="P53" i="10"/>
  <c r="I55" i="10"/>
  <c r="J54" i="10"/>
  <c r="Y52" i="10" l="1"/>
  <c r="C58" i="10"/>
  <c r="X52" i="10"/>
  <c r="Q53" i="10"/>
  <c r="S51" i="10"/>
  <c r="T51" i="10"/>
  <c r="U51" i="10" s="1"/>
  <c r="R52" i="10"/>
  <c r="I56" i="10"/>
  <c r="J55" i="10"/>
  <c r="K54" i="10"/>
  <c r="W53" i="10"/>
  <c r="Z53" i="10" s="1"/>
  <c r="O53" i="10"/>
  <c r="M53" i="10" s="1"/>
  <c r="N53" i="10" s="1"/>
  <c r="P54" i="10"/>
  <c r="AB51" i="10"/>
  <c r="AD51" i="10" s="1"/>
  <c r="AE51" i="10" s="1"/>
  <c r="AC51" i="10"/>
  <c r="I57" i="10" l="1"/>
  <c r="J56" i="10"/>
  <c r="Y53" i="10"/>
  <c r="AB52" i="10"/>
  <c r="AD52" i="10" s="1"/>
  <c r="AE52" i="10" s="1"/>
  <c r="AC52" i="10"/>
  <c r="Q54" i="10"/>
  <c r="S52" i="10"/>
  <c r="T52" i="10"/>
  <c r="U52" i="10" s="1"/>
  <c r="X53" i="10"/>
  <c r="C59" i="10"/>
  <c r="K55" i="10"/>
  <c r="W54" i="10"/>
  <c r="Z54" i="10" s="1"/>
  <c r="O54" i="10"/>
  <c r="M54" i="10" s="1"/>
  <c r="N54" i="10" s="1"/>
  <c r="P55" i="10"/>
  <c r="R53" i="10"/>
  <c r="X54" i="10" l="1"/>
  <c r="K56" i="10"/>
  <c r="W55" i="10"/>
  <c r="Z55" i="10" s="1"/>
  <c r="O55" i="10"/>
  <c r="M55" i="10" s="1"/>
  <c r="N55" i="10" s="1"/>
  <c r="P56" i="10"/>
  <c r="R54" i="10"/>
  <c r="AB53" i="10"/>
  <c r="AD53" i="10" s="1"/>
  <c r="AE53" i="10" s="1"/>
  <c r="AC53" i="10"/>
  <c r="S53" i="10"/>
  <c r="T53" i="10"/>
  <c r="U53" i="10" s="1"/>
  <c r="Q55" i="10"/>
  <c r="C60" i="10"/>
  <c r="Y54" i="10"/>
  <c r="I58" i="10"/>
  <c r="J57" i="10"/>
  <c r="R55" i="10" l="1"/>
  <c r="T55" i="10" s="1"/>
  <c r="U55" i="10" s="1"/>
  <c r="X55" i="10"/>
  <c r="AC55" i="10" s="1"/>
  <c r="Y55" i="10"/>
  <c r="C61" i="10"/>
  <c r="J58" i="10"/>
  <c r="I59" i="10"/>
  <c r="S54" i="10"/>
  <c r="T54" i="10"/>
  <c r="U54" i="10" s="1"/>
  <c r="K57" i="10"/>
  <c r="W56" i="10"/>
  <c r="Z56" i="10" s="1"/>
  <c r="O56" i="10"/>
  <c r="M56" i="10" s="1"/>
  <c r="N56" i="10" s="1"/>
  <c r="P57" i="10"/>
  <c r="Q56" i="10"/>
  <c r="AB54" i="10"/>
  <c r="AD54" i="10" s="1"/>
  <c r="AE54" i="10" s="1"/>
  <c r="AC54" i="10"/>
  <c r="AB55" i="10" l="1"/>
  <c r="AD55" i="10" s="1"/>
  <c r="AE55" i="10" s="1"/>
  <c r="S55" i="10"/>
  <c r="Y56" i="10"/>
  <c r="X56" i="10"/>
  <c r="AC56" i="10" s="1"/>
  <c r="R56" i="10"/>
  <c r="S56" i="10" s="1"/>
  <c r="I60" i="10"/>
  <c r="J59" i="10"/>
  <c r="C62" i="10"/>
  <c r="Q57" i="10"/>
  <c r="K58" i="10"/>
  <c r="W57" i="10"/>
  <c r="Z57" i="10" s="1"/>
  <c r="O57" i="10"/>
  <c r="M57" i="10" s="1"/>
  <c r="N57" i="10" s="1"/>
  <c r="P58" i="10"/>
  <c r="AB56" i="10" l="1"/>
  <c r="AD56" i="10" s="1"/>
  <c r="AE56" i="10" s="1"/>
  <c r="T56" i="10"/>
  <c r="U56" i="10" s="1"/>
  <c r="R57" i="10"/>
  <c r="S57" i="10" s="1"/>
  <c r="I61" i="10"/>
  <c r="J60" i="10"/>
  <c r="C63" i="10"/>
  <c r="Q58" i="10"/>
  <c r="Y57" i="10"/>
  <c r="K59" i="10"/>
  <c r="W58" i="10"/>
  <c r="Z58" i="10" s="1"/>
  <c r="O58" i="10"/>
  <c r="M58" i="10" s="1"/>
  <c r="N58" i="10" s="1"/>
  <c r="P59" i="10"/>
  <c r="X57" i="10"/>
  <c r="T57" i="10" l="1"/>
  <c r="U57" i="10" s="1"/>
  <c r="R58" i="10"/>
  <c r="S58" i="10" s="1"/>
  <c r="Q59" i="10"/>
  <c r="W59" i="10"/>
  <c r="Z59" i="10" s="1"/>
  <c r="P60" i="10"/>
  <c r="O59" i="10"/>
  <c r="M59" i="10" s="1"/>
  <c r="N59" i="10" s="1"/>
  <c r="K60" i="10"/>
  <c r="Y58" i="10"/>
  <c r="C64" i="10"/>
  <c r="AB57" i="10"/>
  <c r="AD57" i="10" s="1"/>
  <c r="AE57" i="10" s="1"/>
  <c r="AC57" i="10"/>
  <c r="X58" i="10"/>
  <c r="I62" i="10"/>
  <c r="J61" i="10"/>
  <c r="T58" i="10" l="1"/>
  <c r="U58" i="10" s="1"/>
  <c r="R59" i="10"/>
  <c r="T59" i="10" s="1"/>
  <c r="U59" i="10" s="1"/>
  <c r="Q60" i="10"/>
  <c r="W60" i="10"/>
  <c r="Z60" i="10" s="1"/>
  <c r="O60" i="10"/>
  <c r="M60" i="10" s="1"/>
  <c r="N60" i="10" s="1"/>
  <c r="P61" i="10"/>
  <c r="K61" i="10"/>
  <c r="X59" i="10"/>
  <c r="AB58" i="10"/>
  <c r="AD58" i="10" s="1"/>
  <c r="AE58" i="10" s="1"/>
  <c r="AC58" i="10"/>
  <c r="I63" i="10"/>
  <c r="J62" i="10"/>
  <c r="C65" i="10"/>
  <c r="Y59" i="10"/>
  <c r="S59" i="10" l="1"/>
  <c r="AB59" i="10"/>
  <c r="AD59" i="10" s="1"/>
  <c r="AE59" i="10" s="1"/>
  <c r="AC59" i="10"/>
  <c r="Y60" i="10"/>
  <c r="I64" i="10"/>
  <c r="J63" i="10"/>
  <c r="W61" i="10"/>
  <c r="Z61" i="10" s="1"/>
  <c r="O61" i="10"/>
  <c r="M61" i="10" s="1"/>
  <c r="N61" i="10" s="1"/>
  <c r="P62" i="10"/>
  <c r="K62" i="10"/>
  <c r="X60" i="10"/>
  <c r="C66" i="10"/>
  <c r="Q61" i="10"/>
  <c r="R60" i="10"/>
  <c r="Y61" i="10" l="1"/>
  <c r="X61" i="10"/>
  <c r="AB61" i="10" s="1"/>
  <c r="AD61" i="10" s="1"/>
  <c r="AE61" i="10" s="1"/>
  <c r="R61" i="10"/>
  <c r="S61" i="10" s="1"/>
  <c r="I65" i="10"/>
  <c r="J64" i="10"/>
  <c r="C67" i="10"/>
  <c r="AB60" i="10"/>
  <c r="AD60" i="10" s="1"/>
  <c r="AE60" i="10" s="1"/>
  <c r="AC60" i="10"/>
  <c r="Q62" i="10"/>
  <c r="S60" i="10"/>
  <c r="T60" i="10"/>
  <c r="U60" i="10" s="1"/>
  <c r="W62" i="10"/>
  <c r="Z62" i="10" s="1"/>
  <c r="O62" i="10"/>
  <c r="M62" i="10" s="1"/>
  <c r="N62" i="10" s="1"/>
  <c r="P63" i="10"/>
  <c r="K63" i="10"/>
  <c r="AC61" i="10" l="1"/>
  <c r="T61" i="10"/>
  <c r="U61" i="10" s="1"/>
  <c r="Q63" i="10"/>
  <c r="Y62" i="10"/>
  <c r="C68" i="10"/>
  <c r="X62" i="10"/>
  <c r="W63" i="10"/>
  <c r="Z63" i="10" s="1"/>
  <c r="O63" i="10"/>
  <c r="M63" i="10" s="1"/>
  <c r="N63" i="10" s="1"/>
  <c r="P64" i="10"/>
  <c r="K64" i="10"/>
  <c r="R62" i="10"/>
  <c r="I66" i="10"/>
  <c r="J65" i="10"/>
  <c r="Y63" i="10" l="1"/>
  <c r="AB62" i="10"/>
  <c r="AD62" i="10" s="1"/>
  <c r="AE62" i="10" s="1"/>
  <c r="AC62" i="10"/>
  <c r="C69" i="10"/>
  <c r="W64" i="10"/>
  <c r="Z64" i="10" s="1"/>
  <c r="O64" i="10"/>
  <c r="M64" i="10" s="1"/>
  <c r="N64" i="10" s="1"/>
  <c r="P65" i="10"/>
  <c r="K65" i="10"/>
  <c r="Q64" i="10"/>
  <c r="X63" i="10"/>
  <c r="I67" i="10"/>
  <c r="J66" i="10"/>
  <c r="S62" i="10"/>
  <c r="T62" i="10"/>
  <c r="U62" i="10" s="1"/>
  <c r="R63" i="10"/>
  <c r="X64" i="10" l="1"/>
  <c r="AC64" i="10" s="1"/>
  <c r="Y64" i="10"/>
  <c r="R64" i="10"/>
  <c r="S64" i="10" s="1"/>
  <c r="W65" i="10"/>
  <c r="Z65" i="10" s="1"/>
  <c r="O65" i="10"/>
  <c r="M65" i="10" s="1"/>
  <c r="N65" i="10" s="1"/>
  <c r="P66" i="10"/>
  <c r="K66" i="10"/>
  <c r="Q65" i="10"/>
  <c r="S63" i="10"/>
  <c r="T63" i="10"/>
  <c r="U63" i="10" s="1"/>
  <c r="I68" i="10"/>
  <c r="J67" i="10"/>
  <c r="C70" i="10"/>
  <c r="AB63" i="10"/>
  <c r="AD63" i="10" s="1"/>
  <c r="AE63" i="10" s="1"/>
  <c r="AC63" i="10"/>
  <c r="AB64" i="10" l="1"/>
  <c r="AD64" i="10" s="1"/>
  <c r="AE64" i="10" s="1"/>
  <c r="T64" i="10"/>
  <c r="U64" i="10" s="1"/>
  <c r="Y65" i="10"/>
  <c r="R65" i="10"/>
  <c r="S65" i="10" s="1"/>
  <c r="X65" i="10"/>
  <c r="AC65" i="10" s="1"/>
  <c r="W66" i="10"/>
  <c r="Z66" i="10" s="1"/>
  <c r="O66" i="10"/>
  <c r="M66" i="10" s="1"/>
  <c r="N66" i="10" s="1"/>
  <c r="P67" i="10"/>
  <c r="K67" i="10"/>
  <c r="I69" i="10"/>
  <c r="J68" i="10"/>
  <c r="Q66" i="10"/>
  <c r="C71" i="10"/>
  <c r="T65" i="10" l="1"/>
  <c r="U65" i="10" s="1"/>
  <c r="AB65" i="10"/>
  <c r="AD65" i="10" s="1"/>
  <c r="AE65" i="10" s="1"/>
  <c r="Y66" i="10"/>
  <c r="X66" i="10"/>
  <c r="AC66" i="10" s="1"/>
  <c r="R66" i="10"/>
  <c r="S66" i="10" s="1"/>
  <c r="Q67" i="10"/>
  <c r="C72" i="10"/>
  <c r="W67" i="10"/>
  <c r="Z67" i="10" s="1"/>
  <c r="O67" i="10"/>
  <c r="M67" i="10" s="1"/>
  <c r="N67" i="10" s="1"/>
  <c r="P68" i="10"/>
  <c r="K68" i="10"/>
  <c r="I70" i="10"/>
  <c r="J69" i="10"/>
  <c r="AB66" i="10" l="1"/>
  <c r="AD66" i="10" s="1"/>
  <c r="AE66" i="10" s="1"/>
  <c r="T66" i="10"/>
  <c r="U66" i="10" s="1"/>
  <c r="Y67" i="10"/>
  <c r="I71" i="10"/>
  <c r="J70" i="10"/>
  <c r="W68" i="10"/>
  <c r="Z68" i="10" s="1"/>
  <c r="O68" i="10"/>
  <c r="M68" i="10" s="1"/>
  <c r="N68" i="10" s="1"/>
  <c r="P69" i="10"/>
  <c r="K69" i="10"/>
  <c r="C73" i="10"/>
  <c r="X67" i="10"/>
  <c r="Q68" i="10"/>
  <c r="R67" i="10"/>
  <c r="R68" i="10" l="1"/>
  <c r="S68" i="10" s="1"/>
  <c r="X68" i="10"/>
  <c r="AB68" i="10" s="1"/>
  <c r="AD68" i="10" s="1"/>
  <c r="AE68" i="10" s="1"/>
  <c r="W69" i="10"/>
  <c r="Z69" i="10" s="1"/>
  <c r="O69" i="10"/>
  <c r="M69" i="10" s="1"/>
  <c r="N69" i="10" s="1"/>
  <c r="P70" i="10"/>
  <c r="K70" i="10"/>
  <c r="AB67" i="10"/>
  <c r="AD67" i="10" s="1"/>
  <c r="AE67" i="10" s="1"/>
  <c r="AC67" i="10"/>
  <c r="Q69" i="10"/>
  <c r="I72" i="10"/>
  <c r="J71" i="10"/>
  <c r="S67" i="10"/>
  <c r="T67" i="10"/>
  <c r="U67" i="10" s="1"/>
  <c r="Y68" i="10"/>
  <c r="C74" i="10"/>
  <c r="T68" i="10" l="1"/>
  <c r="U68" i="10" s="1"/>
  <c r="Y69" i="10"/>
  <c r="X69" i="10"/>
  <c r="AC69" i="10" s="1"/>
  <c r="AC68" i="10"/>
  <c r="R69" i="10"/>
  <c r="S69" i="10" s="1"/>
  <c r="I73" i="10"/>
  <c r="J72" i="10"/>
  <c r="Q70" i="10"/>
  <c r="W70" i="10"/>
  <c r="Z70" i="10" s="1"/>
  <c r="O70" i="10"/>
  <c r="M70" i="10" s="1"/>
  <c r="N70" i="10" s="1"/>
  <c r="P71" i="10"/>
  <c r="K71" i="10"/>
  <c r="C75" i="10"/>
  <c r="AB69" i="10" l="1"/>
  <c r="AD69" i="10" s="1"/>
  <c r="AE69" i="10" s="1"/>
  <c r="T69" i="10"/>
  <c r="U69" i="10" s="1"/>
  <c r="Y70" i="10"/>
  <c r="C76" i="10"/>
  <c r="W71" i="10"/>
  <c r="Z71" i="10" s="1"/>
  <c r="O71" i="10"/>
  <c r="M71" i="10" s="1"/>
  <c r="N71" i="10" s="1"/>
  <c r="P72" i="10"/>
  <c r="K72" i="10"/>
  <c r="X70" i="10"/>
  <c r="Q71" i="10"/>
  <c r="R70" i="10"/>
  <c r="I74" i="10"/>
  <c r="J73" i="10"/>
  <c r="R71" i="10" l="1"/>
  <c r="S71" i="10" s="1"/>
  <c r="Y71" i="10"/>
  <c r="W72" i="10"/>
  <c r="Z72" i="10" s="1"/>
  <c r="O72" i="10"/>
  <c r="M72" i="10" s="1"/>
  <c r="N72" i="10" s="1"/>
  <c r="P73" i="10"/>
  <c r="K73" i="10"/>
  <c r="C77" i="10"/>
  <c r="I75" i="10"/>
  <c r="J74" i="10"/>
  <c r="X71" i="10"/>
  <c r="Q72" i="10"/>
  <c r="AB70" i="10"/>
  <c r="AD70" i="10" s="1"/>
  <c r="AE70" i="10" s="1"/>
  <c r="AC70" i="10"/>
  <c r="S70" i="10"/>
  <c r="T70" i="10"/>
  <c r="U70" i="10" s="1"/>
  <c r="T71" i="10" l="1"/>
  <c r="U71" i="10" s="1"/>
  <c r="X72" i="10"/>
  <c r="AC72" i="10" s="1"/>
  <c r="Y72" i="10"/>
  <c r="R72" i="10"/>
  <c r="S72" i="10" s="1"/>
  <c r="I76" i="10"/>
  <c r="J75" i="10"/>
  <c r="C78" i="10"/>
  <c r="Q73" i="10"/>
  <c r="AB71" i="10"/>
  <c r="AD71" i="10" s="1"/>
  <c r="AE71" i="10" s="1"/>
  <c r="AC71" i="10"/>
  <c r="W73" i="10"/>
  <c r="Z73" i="10" s="1"/>
  <c r="O73" i="10"/>
  <c r="M73" i="10" s="1"/>
  <c r="N73" i="10" s="1"/>
  <c r="P74" i="10"/>
  <c r="K74" i="10"/>
  <c r="AB72" i="10" l="1"/>
  <c r="AD72" i="10" s="1"/>
  <c r="AE72" i="10" s="1"/>
  <c r="T72" i="10"/>
  <c r="U72" i="10" s="1"/>
  <c r="X73" i="10"/>
  <c r="AC73" i="10" s="1"/>
  <c r="R73" i="10"/>
  <c r="W74" i="10"/>
  <c r="Z74" i="10" s="1"/>
  <c r="O74" i="10"/>
  <c r="M74" i="10" s="1"/>
  <c r="N74" i="10" s="1"/>
  <c r="P75" i="10"/>
  <c r="K75" i="10"/>
  <c r="C79" i="10"/>
  <c r="Q74" i="10"/>
  <c r="Y73" i="10"/>
  <c r="I77" i="10"/>
  <c r="J76" i="10"/>
  <c r="Y74" i="10" l="1"/>
  <c r="AB73" i="10"/>
  <c r="AD73" i="10" s="1"/>
  <c r="AE73" i="10" s="1"/>
  <c r="R74" i="10"/>
  <c r="T74" i="10" s="1"/>
  <c r="U74" i="10" s="1"/>
  <c r="I78" i="10"/>
  <c r="J77" i="10"/>
  <c r="X74" i="10"/>
  <c r="W75" i="10"/>
  <c r="Z75" i="10" s="1"/>
  <c r="O75" i="10"/>
  <c r="M75" i="10" s="1"/>
  <c r="N75" i="10" s="1"/>
  <c r="P76" i="10"/>
  <c r="K76" i="10"/>
  <c r="Q75" i="10"/>
  <c r="C80" i="10"/>
  <c r="S73" i="10"/>
  <c r="T73" i="10"/>
  <c r="U73" i="10" s="1"/>
  <c r="S74" i="10" l="1"/>
  <c r="R75" i="10"/>
  <c r="T75" i="10" s="1"/>
  <c r="U75" i="10" s="1"/>
  <c r="C81" i="10"/>
  <c r="W76" i="10"/>
  <c r="Z76" i="10" s="1"/>
  <c r="O76" i="10"/>
  <c r="M76" i="10" s="1"/>
  <c r="N76" i="10" s="1"/>
  <c r="P77" i="10"/>
  <c r="K77" i="10"/>
  <c r="AB74" i="10"/>
  <c r="AD74" i="10" s="1"/>
  <c r="AE74" i="10" s="1"/>
  <c r="AC74" i="10"/>
  <c r="Y75" i="10"/>
  <c r="Q76" i="10"/>
  <c r="X75" i="10"/>
  <c r="I79" i="10"/>
  <c r="J78" i="10"/>
  <c r="X76" i="10" l="1"/>
  <c r="AB76" i="10" s="1"/>
  <c r="AD76" i="10" s="1"/>
  <c r="AE76" i="10" s="1"/>
  <c r="S75" i="10"/>
  <c r="Y76" i="10"/>
  <c r="W77" i="10"/>
  <c r="Z77" i="10" s="1"/>
  <c r="O77" i="10"/>
  <c r="M77" i="10" s="1"/>
  <c r="N77" i="10" s="1"/>
  <c r="P78" i="10"/>
  <c r="K78" i="10"/>
  <c r="C82" i="10"/>
  <c r="AB75" i="10"/>
  <c r="AD75" i="10" s="1"/>
  <c r="AE75" i="10" s="1"/>
  <c r="AC75" i="10"/>
  <c r="R76" i="10"/>
  <c r="I80" i="10"/>
  <c r="J79" i="10"/>
  <c r="Q77" i="10"/>
  <c r="AC76" i="10" l="1"/>
  <c r="Y77" i="10"/>
  <c r="X77" i="10"/>
  <c r="AC77" i="10" s="1"/>
  <c r="R77" i="10"/>
  <c r="S77" i="10" s="1"/>
  <c r="W78" i="10"/>
  <c r="Z78" i="10" s="1"/>
  <c r="O78" i="10"/>
  <c r="M78" i="10" s="1"/>
  <c r="N78" i="10" s="1"/>
  <c r="P79" i="10"/>
  <c r="K79" i="10"/>
  <c r="Q78" i="10"/>
  <c r="I81" i="10"/>
  <c r="J80" i="10"/>
  <c r="C83" i="10"/>
  <c r="S76" i="10"/>
  <c r="T76" i="10"/>
  <c r="U76" i="10" s="1"/>
  <c r="AB77" i="10" l="1"/>
  <c r="AD77" i="10" s="1"/>
  <c r="AE77" i="10" s="1"/>
  <c r="T77" i="10"/>
  <c r="U77" i="10" s="1"/>
  <c r="X78" i="10"/>
  <c r="AC78" i="10" s="1"/>
  <c r="Y78" i="10"/>
  <c r="C84" i="10"/>
  <c r="W79" i="10"/>
  <c r="Z79" i="10" s="1"/>
  <c r="O79" i="10"/>
  <c r="M79" i="10" s="1"/>
  <c r="N79" i="10" s="1"/>
  <c r="P80" i="10"/>
  <c r="K80" i="10"/>
  <c r="Q79" i="10"/>
  <c r="I82" i="10"/>
  <c r="J81" i="10"/>
  <c r="R78" i="10"/>
  <c r="AB78" i="10" l="1"/>
  <c r="AD78" i="10" s="1"/>
  <c r="AE78" i="10" s="1"/>
  <c r="X79" i="10"/>
  <c r="AB79" i="10" s="1"/>
  <c r="AD79" i="10" s="1"/>
  <c r="AE79" i="10" s="1"/>
  <c r="R79" i="10"/>
  <c r="W80" i="10"/>
  <c r="Z80" i="10" s="1"/>
  <c r="O80" i="10"/>
  <c r="M80" i="10" s="1"/>
  <c r="N80" i="10" s="1"/>
  <c r="P81" i="10"/>
  <c r="K81" i="10"/>
  <c r="C85" i="10"/>
  <c r="S78" i="10"/>
  <c r="T78" i="10"/>
  <c r="U78" i="10" s="1"/>
  <c r="I83" i="10"/>
  <c r="J82" i="10"/>
  <c r="Y79" i="10"/>
  <c r="Q80" i="10"/>
  <c r="AC79" i="10" l="1"/>
  <c r="X80" i="10"/>
  <c r="AC80" i="10" s="1"/>
  <c r="Y80" i="10"/>
  <c r="R80" i="10"/>
  <c r="T80" i="10" s="1"/>
  <c r="U80" i="10" s="1"/>
  <c r="I84" i="10"/>
  <c r="J83" i="10"/>
  <c r="C86" i="10"/>
  <c r="Q81" i="10"/>
  <c r="W81" i="10"/>
  <c r="Z81" i="10" s="1"/>
  <c r="O81" i="10"/>
  <c r="M81" i="10" s="1"/>
  <c r="N81" i="10" s="1"/>
  <c r="P82" i="10"/>
  <c r="K82" i="10"/>
  <c r="S79" i="10"/>
  <c r="T79" i="10"/>
  <c r="U79" i="10" s="1"/>
  <c r="AB80" i="10" l="1"/>
  <c r="AD80" i="10" s="1"/>
  <c r="AE80" i="10" s="1"/>
  <c r="S80" i="10"/>
  <c r="Y81" i="10"/>
  <c r="W82" i="10"/>
  <c r="Z82" i="10" s="1"/>
  <c r="O82" i="10"/>
  <c r="M82" i="10" s="1"/>
  <c r="N82" i="10" s="1"/>
  <c r="P83" i="10"/>
  <c r="K83" i="10"/>
  <c r="Q82" i="10"/>
  <c r="X81" i="10"/>
  <c r="C87" i="10"/>
  <c r="R81" i="10"/>
  <c r="J84" i="10"/>
  <c r="I85" i="10"/>
  <c r="X82" i="10" l="1"/>
  <c r="AB82" i="10" s="1"/>
  <c r="AD82" i="10" s="1"/>
  <c r="AE82" i="10" s="1"/>
  <c r="Y82" i="10"/>
  <c r="O83" i="10"/>
  <c r="M83" i="10" s="1"/>
  <c r="N83" i="10" s="1"/>
  <c r="P84" i="10"/>
  <c r="W83" i="10"/>
  <c r="Z83" i="10" s="1"/>
  <c r="K84" i="10"/>
  <c r="Q83" i="10"/>
  <c r="J85" i="10"/>
  <c r="I86" i="10"/>
  <c r="S81" i="10"/>
  <c r="T81" i="10"/>
  <c r="U81" i="10" s="1"/>
  <c r="C88" i="10"/>
  <c r="AB81" i="10"/>
  <c r="AD81" i="10" s="1"/>
  <c r="AE81" i="10" s="1"/>
  <c r="AC81" i="10"/>
  <c r="R82" i="10"/>
  <c r="AC82" i="10" l="1"/>
  <c r="R83" i="10"/>
  <c r="S83" i="10" s="1"/>
  <c r="Y83" i="10"/>
  <c r="X83" i="10"/>
  <c r="AC83" i="10" s="1"/>
  <c r="S82" i="10"/>
  <c r="T82" i="10"/>
  <c r="U82" i="10" s="1"/>
  <c r="C89" i="10"/>
  <c r="O84" i="10"/>
  <c r="M84" i="10" s="1"/>
  <c r="N84" i="10" s="1"/>
  <c r="P85" i="10"/>
  <c r="W84" i="10"/>
  <c r="Z84" i="10" s="1"/>
  <c r="K85" i="10"/>
  <c r="J86" i="10"/>
  <c r="I87" i="10"/>
  <c r="Q84" i="10"/>
  <c r="X84" i="10" l="1"/>
  <c r="AB84" i="10" s="1"/>
  <c r="AD84" i="10" s="1"/>
  <c r="AE84" i="10" s="1"/>
  <c r="T83" i="10"/>
  <c r="U83" i="10" s="1"/>
  <c r="R84" i="10"/>
  <c r="S84" i="10" s="1"/>
  <c r="AB83" i="10"/>
  <c r="AD83" i="10" s="1"/>
  <c r="AE83" i="10" s="1"/>
  <c r="Y84" i="10"/>
  <c r="C90" i="10"/>
  <c r="I88" i="10"/>
  <c r="J87" i="10"/>
  <c r="Q85" i="10"/>
  <c r="P86" i="10"/>
  <c r="O85" i="10"/>
  <c r="M85" i="10" s="1"/>
  <c r="N85" i="10" s="1"/>
  <c r="W85" i="10"/>
  <c r="Z85" i="10" s="1"/>
  <c r="K86" i="10"/>
  <c r="T84" i="10" l="1"/>
  <c r="U84" i="10" s="1"/>
  <c r="AC84" i="10"/>
  <c r="Q86" i="10"/>
  <c r="Y85" i="10"/>
  <c r="C91" i="10"/>
  <c r="O86" i="10"/>
  <c r="M86" i="10" s="1"/>
  <c r="N86" i="10" s="1"/>
  <c r="W86" i="10"/>
  <c r="Z86" i="10" s="1"/>
  <c r="P87" i="10"/>
  <c r="K87" i="10"/>
  <c r="R85" i="10"/>
  <c r="X85" i="10"/>
  <c r="I89" i="10"/>
  <c r="J88" i="10"/>
  <c r="X86" i="10" l="1"/>
  <c r="AB86" i="10" s="1"/>
  <c r="AD86" i="10" s="1"/>
  <c r="AE86" i="10" s="1"/>
  <c r="T85" i="10"/>
  <c r="U85" i="10" s="1"/>
  <c r="S85" i="10"/>
  <c r="O87" i="10"/>
  <c r="M87" i="10" s="1"/>
  <c r="N87" i="10" s="1"/>
  <c r="P88" i="10"/>
  <c r="K88" i="10"/>
  <c r="W87" i="10"/>
  <c r="Z87" i="10" s="1"/>
  <c r="R86" i="10"/>
  <c r="I90" i="10"/>
  <c r="J89" i="10"/>
  <c r="Q87" i="10"/>
  <c r="C92" i="10"/>
  <c r="AB85" i="10"/>
  <c r="AD85" i="10" s="1"/>
  <c r="AE85" i="10" s="1"/>
  <c r="AC85" i="10"/>
  <c r="Y86" i="10"/>
  <c r="R87" i="10" l="1"/>
  <c r="T87" i="10" s="1"/>
  <c r="U87" i="10" s="1"/>
  <c r="AC86" i="10"/>
  <c r="O88" i="10"/>
  <c r="M88" i="10" s="1"/>
  <c r="N88" i="10" s="1"/>
  <c r="P89" i="10"/>
  <c r="K89" i="10"/>
  <c r="W88" i="10"/>
  <c r="Z88" i="10" s="1"/>
  <c r="C93" i="10"/>
  <c r="X87" i="10"/>
  <c r="I91" i="10"/>
  <c r="J90" i="10"/>
  <c r="Q88" i="10"/>
  <c r="Y87" i="10"/>
  <c r="T86" i="10"/>
  <c r="U86" i="10" s="1"/>
  <c r="S86" i="10"/>
  <c r="S87" i="10" l="1"/>
  <c r="R88" i="10"/>
  <c r="S88" i="10" s="1"/>
  <c r="AC87" i="10"/>
  <c r="AB87" i="10"/>
  <c r="AD87" i="10" s="1"/>
  <c r="AE87" i="10" s="1"/>
  <c r="O89" i="10"/>
  <c r="M89" i="10" s="1"/>
  <c r="N89" i="10" s="1"/>
  <c r="P90" i="10"/>
  <c r="K90" i="10"/>
  <c r="W89" i="10"/>
  <c r="Z89" i="10" s="1"/>
  <c r="I92" i="10"/>
  <c r="J91" i="10"/>
  <c r="Q89" i="10"/>
  <c r="X88" i="10"/>
  <c r="Y88" i="10"/>
  <c r="C94" i="10"/>
  <c r="R89" i="10" l="1"/>
  <c r="S89" i="10" s="1"/>
  <c r="T88" i="10"/>
  <c r="U88" i="10" s="1"/>
  <c r="Y89" i="10"/>
  <c r="AC88" i="10"/>
  <c r="AB88" i="10"/>
  <c r="AD88" i="10" s="1"/>
  <c r="AE88" i="10" s="1"/>
  <c r="O90" i="10"/>
  <c r="M90" i="10" s="1"/>
  <c r="N90" i="10" s="1"/>
  <c r="P91" i="10"/>
  <c r="K91" i="10"/>
  <c r="W90" i="10"/>
  <c r="Z90" i="10" s="1"/>
  <c r="Q90" i="10"/>
  <c r="X89" i="10"/>
  <c r="C95" i="10"/>
  <c r="I93" i="10"/>
  <c r="J92" i="10"/>
  <c r="T89" i="10" l="1"/>
  <c r="U89" i="10" s="1"/>
  <c r="R90" i="10"/>
  <c r="S90" i="10" s="1"/>
  <c r="Y90" i="10"/>
  <c r="I94" i="10"/>
  <c r="J93" i="10"/>
  <c r="Q91" i="10"/>
  <c r="C96" i="10"/>
  <c r="AC89" i="10"/>
  <c r="AB89" i="10"/>
  <c r="AD89" i="10" s="1"/>
  <c r="AE89" i="10" s="1"/>
  <c r="X90" i="10"/>
  <c r="O91" i="10"/>
  <c r="M91" i="10" s="1"/>
  <c r="N91" i="10" s="1"/>
  <c r="P92" i="10"/>
  <c r="K92" i="10"/>
  <c r="W91" i="10"/>
  <c r="Z91" i="10" s="1"/>
  <c r="T90" i="10" l="1"/>
  <c r="U90" i="10" s="1"/>
  <c r="Y91" i="10"/>
  <c r="X91" i="10"/>
  <c r="AB91" i="10" s="1"/>
  <c r="AD91" i="10" s="1"/>
  <c r="AE91" i="10" s="1"/>
  <c r="Q92" i="10"/>
  <c r="R91" i="10"/>
  <c r="O92" i="10"/>
  <c r="M92" i="10" s="1"/>
  <c r="N92" i="10" s="1"/>
  <c r="P93" i="10"/>
  <c r="K93" i="10"/>
  <c r="W92" i="10"/>
  <c r="Z92" i="10" s="1"/>
  <c r="C97" i="10"/>
  <c r="AC90" i="10"/>
  <c r="AB90" i="10"/>
  <c r="AD90" i="10" s="1"/>
  <c r="AE90" i="10" s="1"/>
  <c r="J94" i="10"/>
  <c r="I95" i="10"/>
  <c r="AC91" i="10" l="1"/>
  <c r="R92" i="10"/>
  <c r="S92" i="10" s="1"/>
  <c r="Q93" i="10"/>
  <c r="O93" i="10"/>
  <c r="M93" i="10" s="1"/>
  <c r="N93" i="10" s="1"/>
  <c r="P94" i="10"/>
  <c r="K94" i="10"/>
  <c r="W93" i="10"/>
  <c r="Z93" i="10" s="1"/>
  <c r="C98" i="10"/>
  <c r="Y92" i="10"/>
  <c r="J95" i="10"/>
  <c r="I96" i="10"/>
  <c r="S91" i="10"/>
  <c r="T91" i="10"/>
  <c r="U91" i="10" s="1"/>
  <c r="X92" i="10"/>
  <c r="T92" i="10" l="1"/>
  <c r="U92" i="10" s="1"/>
  <c r="Y93" i="10"/>
  <c r="C99" i="10"/>
  <c r="J96" i="10"/>
  <c r="I97" i="10"/>
  <c r="X93" i="10"/>
  <c r="Q94" i="10"/>
  <c r="AC92" i="10"/>
  <c r="AB92" i="10"/>
  <c r="AD92" i="10" s="1"/>
  <c r="AE92" i="10" s="1"/>
  <c r="R93" i="10"/>
  <c r="O94" i="10"/>
  <c r="M94" i="10" s="1"/>
  <c r="N94" i="10" s="1"/>
  <c r="P95" i="10"/>
  <c r="K95" i="10"/>
  <c r="W94" i="10"/>
  <c r="Z94" i="10" s="1"/>
  <c r="Y94" i="10" l="1"/>
  <c r="J97" i="10"/>
  <c r="I98" i="10"/>
  <c r="Q95" i="10"/>
  <c r="X94" i="10"/>
  <c r="S93" i="10"/>
  <c r="T93" i="10"/>
  <c r="U93" i="10" s="1"/>
  <c r="K96" i="10"/>
  <c r="W95" i="10"/>
  <c r="Z95" i="10" s="1"/>
  <c r="P96" i="10"/>
  <c r="O95" i="10"/>
  <c r="M95" i="10" s="1"/>
  <c r="N95" i="10" s="1"/>
  <c r="R94" i="10"/>
  <c r="AC93" i="10"/>
  <c r="AB93" i="10"/>
  <c r="AD93" i="10" s="1"/>
  <c r="AE93" i="10" s="1"/>
  <c r="C100" i="10"/>
  <c r="C101" i="10" l="1"/>
  <c r="S94" i="10"/>
  <c r="T94" i="10"/>
  <c r="U94" i="10" s="1"/>
  <c r="K97" i="10"/>
  <c r="O96" i="10"/>
  <c r="M96" i="10" s="1"/>
  <c r="N96" i="10" s="1"/>
  <c r="W96" i="10"/>
  <c r="Z96" i="10" s="1"/>
  <c r="P97" i="10"/>
  <c r="X95" i="10"/>
  <c r="I99" i="10"/>
  <c r="J98" i="10"/>
  <c r="Y95" i="10"/>
  <c r="R95" i="10"/>
  <c r="AC94" i="10"/>
  <c r="AB94" i="10"/>
  <c r="AD94" i="10" s="1"/>
  <c r="AE94" i="10" s="1"/>
  <c r="Q96" i="10"/>
  <c r="R96" i="10" l="1"/>
  <c r="S96" i="10" s="1"/>
  <c r="X96" i="10"/>
  <c r="AC96" i="10" s="1"/>
  <c r="Y96" i="10"/>
  <c r="Q97" i="10"/>
  <c r="J99" i="10"/>
  <c r="I100" i="10"/>
  <c r="T95" i="10"/>
  <c r="U95" i="10" s="1"/>
  <c r="S95" i="10"/>
  <c r="AC95" i="10"/>
  <c r="AB95" i="10"/>
  <c r="AD95" i="10" s="1"/>
  <c r="AE95" i="10" s="1"/>
  <c r="K98" i="10"/>
  <c r="P98" i="10"/>
  <c r="W97" i="10"/>
  <c r="Z97" i="10" s="1"/>
  <c r="O97" i="10"/>
  <c r="M97" i="10" s="1"/>
  <c r="N97" i="10" s="1"/>
  <c r="C102" i="10"/>
  <c r="T96" i="10" l="1"/>
  <c r="U96" i="10" s="1"/>
  <c r="AB96" i="10"/>
  <c r="AD96" i="10" s="1"/>
  <c r="AE96" i="10" s="1"/>
  <c r="Y97" i="10"/>
  <c r="X97" i="10"/>
  <c r="AB97" i="10" s="1"/>
  <c r="AD97" i="10" s="1"/>
  <c r="AE97" i="10" s="1"/>
  <c r="C103" i="10"/>
  <c r="I101" i="10"/>
  <c r="J100" i="10"/>
  <c r="R97" i="10"/>
  <c r="Q98" i="10"/>
  <c r="K99" i="10"/>
  <c r="O98" i="10"/>
  <c r="M98" i="10" s="1"/>
  <c r="N98" i="10" s="1"/>
  <c r="W98" i="10"/>
  <c r="Z98" i="10" s="1"/>
  <c r="P99" i="10"/>
  <c r="AC97" i="10" l="1"/>
  <c r="X98" i="10"/>
  <c r="J101" i="10"/>
  <c r="I102" i="10"/>
  <c r="K100" i="10"/>
  <c r="P100" i="10"/>
  <c r="O99" i="10"/>
  <c r="M99" i="10" s="1"/>
  <c r="N99" i="10" s="1"/>
  <c r="W99" i="10"/>
  <c r="Z99" i="10" s="1"/>
  <c r="R98" i="10"/>
  <c r="Q99" i="10"/>
  <c r="Y98" i="10"/>
  <c r="S97" i="10"/>
  <c r="T97" i="10"/>
  <c r="U97" i="10" s="1"/>
  <c r="C104" i="10"/>
  <c r="Y99" i="10" l="1"/>
  <c r="X99" i="10"/>
  <c r="AC99" i="10" s="1"/>
  <c r="I103" i="10"/>
  <c r="J102" i="10"/>
  <c r="T98" i="10"/>
  <c r="U98" i="10" s="1"/>
  <c r="S98" i="10"/>
  <c r="K101" i="10"/>
  <c r="O100" i="10"/>
  <c r="M100" i="10" s="1"/>
  <c r="N100" i="10" s="1"/>
  <c r="W100" i="10"/>
  <c r="Z100" i="10" s="1"/>
  <c r="P101" i="10"/>
  <c r="R99" i="10"/>
  <c r="C105" i="10"/>
  <c r="Q100" i="10"/>
  <c r="AB98" i="10"/>
  <c r="AD98" i="10" s="1"/>
  <c r="AE98" i="10" s="1"/>
  <c r="AC98" i="10"/>
  <c r="AB99" i="10" l="1"/>
  <c r="AD99" i="10" s="1"/>
  <c r="AE99" i="10" s="1"/>
  <c r="Y100" i="10"/>
  <c r="R100" i="10"/>
  <c r="S100" i="10" s="1"/>
  <c r="X100" i="10"/>
  <c r="AB100" i="10" s="1"/>
  <c r="AD100" i="10" s="1"/>
  <c r="AE100" i="10" s="1"/>
  <c r="Q101" i="10"/>
  <c r="S99" i="10"/>
  <c r="T99" i="10"/>
  <c r="U99" i="10" s="1"/>
  <c r="C106" i="10"/>
  <c r="K102" i="10"/>
  <c r="P102" i="10"/>
  <c r="O101" i="10"/>
  <c r="M101" i="10" s="1"/>
  <c r="N101" i="10" s="1"/>
  <c r="W101" i="10"/>
  <c r="Z101" i="10" s="1"/>
  <c r="J103" i="10"/>
  <c r="I104" i="10"/>
  <c r="T100" i="10" l="1"/>
  <c r="U100" i="10" s="1"/>
  <c r="AC100" i="10"/>
  <c r="C107" i="10"/>
  <c r="Y101" i="10"/>
  <c r="X101" i="10"/>
  <c r="J104" i="10"/>
  <c r="I105" i="10"/>
  <c r="Q102" i="10"/>
  <c r="R101" i="10"/>
  <c r="K103" i="10"/>
  <c r="O102" i="10"/>
  <c r="M102" i="10" s="1"/>
  <c r="N102" i="10" s="1"/>
  <c r="W102" i="10"/>
  <c r="Z102" i="10" s="1"/>
  <c r="P103" i="10"/>
  <c r="Y102" i="10" l="1"/>
  <c r="K104" i="10"/>
  <c r="O103" i="10"/>
  <c r="M103" i="10" s="1"/>
  <c r="N103" i="10" s="1"/>
  <c r="W103" i="10"/>
  <c r="Z103" i="10" s="1"/>
  <c r="P104" i="10"/>
  <c r="Q103" i="10"/>
  <c r="S101" i="10"/>
  <c r="T101" i="10"/>
  <c r="U101" i="10" s="1"/>
  <c r="X102" i="10"/>
  <c r="J105" i="10"/>
  <c r="I106" i="10"/>
  <c r="C108" i="10"/>
  <c r="AC101" i="10"/>
  <c r="AB101" i="10"/>
  <c r="AD101" i="10" s="1"/>
  <c r="AE101" i="10" s="1"/>
  <c r="R102" i="10"/>
  <c r="R103" i="10" l="1"/>
  <c r="T103" i="10" s="1"/>
  <c r="U103" i="10" s="1"/>
  <c r="X103" i="10"/>
  <c r="AC103" i="10" s="1"/>
  <c r="Y103" i="10"/>
  <c r="Q104" i="10"/>
  <c r="C109" i="10"/>
  <c r="AB102" i="10"/>
  <c r="AD102" i="10" s="1"/>
  <c r="AE102" i="10" s="1"/>
  <c r="AC102" i="10"/>
  <c r="T102" i="10"/>
  <c r="U102" i="10" s="1"/>
  <c r="S102" i="10"/>
  <c r="I107" i="10"/>
  <c r="J106" i="10"/>
  <c r="K105" i="10"/>
  <c r="P105" i="10"/>
  <c r="W104" i="10"/>
  <c r="Z104" i="10" s="1"/>
  <c r="O104" i="10"/>
  <c r="M104" i="10" s="1"/>
  <c r="N104" i="10" s="1"/>
  <c r="S103" i="10" l="1"/>
  <c r="AB103" i="10"/>
  <c r="AD103" i="10" s="1"/>
  <c r="AE103" i="10" s="1"/>
  <c r="Y104" i="10"/>
  <c r="I108" i="10"/>
  <c r="J107" i="10"/>
  <c r="X104" i="10"/>
  <c r="Q105" i="10"/>
  <c r="C110" i="10"/>
  <c r="R104" i="10"/>
  <c r="K106" i="10"/>
  <c r="P106" i="10"/>
  <c r="W105" i="10"/>
  <c r="Z105" i="10" s="1"/>
  <c r="O105" i="10"/>
  <c r="M105" i="10" s="1"/>
  <c r="N105" i="10" s="1"/>
  <c r="Q106" i="10" l="1"/>
  <c r="K107" i="10"/>
  <c r="W106" i="10"/>
  <c r="Z106" i="10" s="1"/>
  <c r="P107" i="10"/>
  <c r="O106" i="10"/>
  <c r="M106" i="10" s="1"/>
  <c r="N106" i="10" s="1"/>
  <c r="Y105" i="10"/>
  <c r="AB104" i="10"/>
  <c r="AD104" i="10" s="1"/>
  <c r="AE104" i="10" s="1"/>
  <c r="AC104" i="10"/>
  <c r="S104" i="10"/>
  <c r="T104" i="10"/>
  <c r="U104" i="10" s="1"/>
  <c r="X105" i="10"/>
  <c r="C111" i="10"/>
  <c r="R105" i="10"/>
  <c r="J108" i="10"/>
  <c r="I109" i="10"/>
  <c r="X106" i="10" l="1"/>
  <c r="AB106" i="10" s="1"/>
  <c r="AD106" i="10" s="1"/>
  <c r="AE106" i="10" s="1"/>
  <c r="Q107" i="10"/>
  <c r="R106" i="10"/>
  <c r="Y106" i="10"/>
  <c r="C112" i="10"/>
  <c r="J109" i="10"/>
  <c r="I110" i="10"/>
  <c r="AB105" i="10"/>
  <c r="AD105" i="10" s="1"/>
  <c r="AE105" i="10" s="1"/>
  <c r="AC105" i="10"/>
  <c r="T105" i="10"/>
  <c r="U105" i="10" s="1"/>
  <c r="S105" i="10"/>
  <c r="K108" i="10"/>
  <c r="W107" i="10"/>
  <c r="Z107" i="10" s="1"/>
  <c r="P108" i="10"/>
  <c r="O107" i="10"/>
  <c r="M107" i="10" s="1"/>
  <c r="N107" i="10" s="1"/>
  <c r="AC106" i="10" l="1"/>
  <c r="J110" i="10"/>
  <c r="I111" i="10"/>
  <c r="T106" i="10"/>
  <c r="U106" i="10" s="1"/>
  <c r="S106" i="10"/>
  <c r="Q108" i="10"/>
  <c r="C113" i="10"/>
  <c r="X107" i="10"/>
  <c r="R107" i="10"/>
  <c r="K109" i="10"/>
  <c r="W108" i="10"/>
  <c r="Z108" i="10" s="1"/>
  <c r="O108" i="10"/>
  <c r="M108" i="10" s="1"/>
  <c r="N108" i="10" s="1"/>
  <c r="P109" i="10"/>
  <c r="Y107" i="10"/>
  <c r="X108" i="10" l="1"/>
  <c r="AB108" i="10" s="1"/>
  <c r="AD108" i="10" s="1"/>
  <c r="AE108" i="10" s="1"/>
  <c r="Q109" i="10"/>
  <c r="AB107" i="10"/>
  <c r="AD107" i="10" s="1"/>
  <c r="AE107" i="10" s="1"/>
  <c r="AC107" i="10"/>
  <c r="Y108" i="10"/>
  <c r="C114" i="10"/>
  <c r="R108" i="10"/>
  <c r="J111" i="10"/>
  <c r="I112" i="10"/>
  <c r="T107" i="10"/>
  <c r="U107" i="10" s="1"/>
  <c r="S107" i="10"/>
  <c r="K110" i="10"/>
  <c r="W109" i="10"/>
  <c r="Z109" i="10" s="1"/>
  <c r="O109" i="10"/>
  <c r="M109" i="10" s="1"/>
  <c r="N109" i="10" s="1"/>
  <c r="P110" i="10"/>
  <c r="AC108" i="10" l="1"/>
  <c r="X109" i="10"/>
  <c r="AB109" i="10" s="1"/>
  <c r="AD109" i="10" s="1"/>
  <c r="AE109" i="10" s="1"/>
  <c r="C115" i="10"/>
  <c r="Y109" i="10"/>
  <c r="T108" i="10"/>
  <c r="U108" i="10" s="1"/>
  <c r="S108" i="10"/>
  <c r="I113" i="10"/>
  <c r="J112" i="10"/>
  <c r="R109" i="10"/>
  <c r="Q110" i="10"/>
  <c r="K111" i="10"/>
  <c r="W110" i="10"/>
  <c r="Z110" i="10" s="1"/>
  <c r="P111" i="10"/>
  <c r="O110" i="10"/>
  <c r="M110" i="10" s="1"/>
  <c r="N110" i="10" s="1"/>
  <c r="AC109" i="10" l="1"/>
  <c r="R110" i="10"/>
  <c r="S110" i="10" s="1"/>
  <c r="K112" i="10"/>
  <c r="P112" i="10"/>
  <c r="W111" i="10"/>
  <c r="Z111" i="10" s="1"/>
  <c r="O111" i="10"/>
  <c r="M111" i="10" s="1"/>
  <c r="N111" i="10" s="1"/>
  <c r="J113" i="10"/>
  <c r="I114" i="10"/>
  <c r="S109" i="10"/>
  <c r="T109" i="10"/>
  <c r="U109" i="10" s="1"/>
  <c r="C116" i="10"/>
  <c r="Y110" i="10"/>
  <c r="Q111" i="10"/>
  <c r="X110" i="10"/>
  <c r="R111" i="10" l="1"/>
  <c r="T111" i="10" s="1"/>
  <c r="U111" i="10" s="1"/>
  <c r="X111" i="10"/>
  <c r="AC111" i="10" s="1"/>
  <c r="Y111" i="10"/>
  <c r="T110" i="10"/>
  <c r="U110" i="10" s="1"/>
  <c r="Q112" i="10"/>
  <c r="K113" i="10"/>
  <c r="W112" i="10"/>
  <c r="Z112" i="10" s="1"/>
  <c r="P113" i="10"/>
  <c r="O112" i="10"/>
  <c r="M112" i="10" s="1"/>
  <c r="N112" i="10" s="1"/>
  <c r="J114" i="10"/>
  <c r="I115" i="10"/>
  <c r="AB110" i="10"/>
  <c r="AD110" i="10" s="1"/>
  <c r="AE110" i="10" s="1"/>
  <c r="AC110" i="10"/>
  <c r="AB111" i="10"/>
  <c r="AD111" i="10" s="1"/>
  <c r="AE111" i="10" s="1"/>
  <c r="S111" i="10" l="1"/>
  <c r="I116" i="10"/>
  <c r="J115" i="10"/>
  <c r="X112" i="10"/>
  <c r="K114" i="10"/>
  <c r="P114" i="10"/>
  <c r="W113" i="10"/>
  <c r="Z113" i="10" s="1"/>
  <c r="O113" i="10"/>
  <c r="M113" i="10" s="1"/>
  <c r="N113" i="10" s="1"/>
  <c r="R112" i="10"/>
  <c r="Y112" i="10"/>
  <c r="Q113" i="10"/>
  <c r="J116" i="10" l="1"/>
  <c r="Y113" i="10"/>
  <c r="X113" i="10"/>
  <c r="AC113" i="10" s="1"/>
  <c r="AB112" i="10"/>
  <c r="AD112" i="10" s="1"/>
  <c r="AE112" i="10" s="1"/>
  <c r="AC112" i="10"/>
  <c r="T112" i="10"/>
  <c r="U112" i="10" s="1"/>
  <c r="S112" i="10"/>
  <c r="K115" i="10"/>
  <c r="W114" i="10"/>
  <c r="Z114" i="10" s="1"/>
  <c r="O114" i="10"/>
  <c r="M114" i="10" s="1"/>
  <c r="N114" i="10" s="1"/>
  <c r="P115" i="10"/>
  <c r="R113" i="10"/>
  <c r="Q114" i="10"/>
  <c r="AB113" i="10" l="1"/>
  <c r="AD113" i="10" s="1"/>
  <c r="AE113" i="10" s="1"/>
  <c r="Y114" i="10"/>
  <c r="X114" i="10"/>
  <c r="AB114" i="10" s="1"/>
  <c r="AD114" i="10" s="1"/>
  <c r="AE114" i="10" s="1"/>
  <c r="R114" i="10"/>
  <c r="T114" i="10" s="1"/>
  <c r="U114" i="10" s="1"/>
  <c r="Q115" i="10"/>
  <c r="T113" i="10"/>
  <c r="U113" i="10" s="1"/>
  <c r="S113" i="10"/>
  <c r="K116" i="10"/>
  <c r="W115" i="10"/>
  <c r="Z115" i="10" s="1"/>
  <c r="O115" i="10"/>
  <c r="M115" i="10" s="1"/>
  <c r="N115" i="10" s="1"/>
  <c r="P116" i="10"/>
  <c r="S114" i="10" l="1"/>
  <c r="AC114" i="10"/>
  <c r="Y115" i="10"/>
  <c r="W116" i="10"/>
  <c r="Z116" i="10" s="1"/>
  <c r="O116" i="10"/>
  <c r="M116" i="10" s="1"/>
  <c r="N116" i="10" s="1"/>
  <c r="X115" i="10"/>
  <c r="Q116" i="10"/>
  <c r="R115" i="10"/>
  <c r="Y116" i="10" l="1"/>
  <c r="X116" i="10"/>
  <c r="AB116" i="10" s="1"/>
  <c r="M16" i="10" s="1"/>
  <c r="R116" i="10"/>
  <c r="AB115" i="10"/>
  <c r="AD115" i="10" s="1"/>
  <c r="AE115" i="10" s="1"/>
  <c r="AC115" i="10"/>
  <c r="S115" i="10"/>
  <c r="T115" i="10"/>
  <c r="U115" i="10" s="1"/>
  <c r="K16" i="10" l="1"/>
  <c r="J16" i="10"/>
  <c r="I16" i="10"/>
  <c r="O16" i="10"/>
  <c r="F16" i="10"/>
  <c r="G16" i="10"/>
  <c r="AC116" i="10"/>
  <c r="S116" i="10"/>
  <c r="AB6" i="10" s="1"/>
  <c r="T116" i="10"/>
  <c r="U116" i="10" s="1"/>
  <c r="AE9" i="10" s="1"/>
  <c r="AD116" i="10"/>
  <c r="AE116" i="10" s="1"/>
  <c r="AE8" i="10"/>
  <c r="AE5" i="10"/>
  <c r="Z6" i="10"/>
  <c r="Z7" i="10"/>
  <c r="Z8" i="10"/>
  <c r="AB8" i="10" s="1"/>
  <c r="AE4" i="10"/>
  <c r="Z4" i="10"/>
  <c r="AB4" i="10" s="1"/>
  <c r="AE3" i="10"/>
  <c r="Z3" i="10"/>
  <c r="Z2" i="10"/>
  <c r="AB2" i="10" s="1"/>
  <c r="AE2" i="10"/>
  <c r="AE7" i="10"/>
  <c r="W16" i="10"/>
  <c r="AB7" i="10"/>
  <c r="X16" i="10"/>
  <c r="AE6" i="10"/>
  <c r="AB3" i="10" l="1"/>
  <c r="AB5" i="10"/>
</calcChain>
</file>

<file path=xl/comments1.xml><?xml version="1.0" encoding="utf-8"?>
<comments xmlns="http://schemas.openxmlformats.org/spreadsheetml/2006/main">
  <authors>
    <author>eu</author>
    <author>Ильнур</author>
  </authors>
  <commentList>
    <comment ref="K2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A3" authorId="1">
      <text>
        <r>
          <rPr>
            <sz val="9"/>
            <color indexed="81"/>
            <rFont val="Tahoma"/>
            <family val="2"/>
            <charset val="204"/>
          </rPr>
          <t>Начальное количество пипсов ТР - прибыли от сетки.   Прибавляется (с минусом) к уровню без убытка или среднеарифметическому взвешенному сетки</t>
        </r>
      </text>
    </comment>
    <comment ref="E3" authorId="1">
      <text>
        <r>
          <rPr>
            <sz val="9"/>
            <color indexed="81"/>
            <rFont val="Tahoma"/>
            <family val="2"/>
            <charset val="204"/>
          </rPr>
          <t>Начальный шаг SELL сетки в пипсах</t>
        </r>
      </text>
    </comment>
    <comment ref="I3" authorId="1">
      <text>
        <r>
          <rPr>
            <sz val="9"/>
            <color indexed="81"/>
            <rFont val="Tahoma"/>
            <family val="2"/>
            <charset val="204"/>
          </rPr>
          <t>Лот 1 -го (первого) минимального ордера сетки</t>
        </r>
      </text>
    </comment>
    <comment ref="K3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Z3" authorId="1">
      <text>
        <r>
          <rPr>
            <sz val="9"/>
            <color indexed="81"/>
            <rFont val="Tahoma"/>
            <family val="2"/>
            <charset val="204"/>
          </rPr>
          <t>Средневзвешенное значение. В качестве "веса" используется номер колена</t>
        </r>
      </text>
    </comment>
    <comment ref="AE3" authorId="1">
      <text>
        <r>
          <rPr>
            <sz val="9"/>
            <color indexed="81"/>
            <rFont val="Tahoma"/>
            <family val="2"/>
            <charset val="204"/>
          </rPr>
          <t>Средневзвешенное значение. В качестве "веса" используется номер колена</t>
        </r>
      </text>
    </comment>
    <comment ref="I4" authorId="1">
      <text>
        <r>
          <rPr>
            <sz val="9"/>
            <color indexed="81"/>
            <rFont val="Tahoma"/>
            <family val="2"/>
            <charset val="204"/>
          </rPr>
          <t>Начальный множитель лота для ордеров сетки. Чаще всего лот очередного открываемого ордера сетки = лоту последнего ордера сетки * Mult (с или без коррекции)</t>
        </r>
      </text>
    </comment>
    <comment ref="P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</t>
        </r>
      </text>
    </comment>
    <comment ref="Z4" authorId="1">
      <text>
        <r>
          <rPr>
            <sz val="9"/>
            <color indexed="81"/>
            <rFont val="Tahoma"/>
            <family val="2"/>
            <charset val="204"/>
          </rPr>
          <t>Средневзвешенное значение. В качестве "веса" используется номер колена</t>
        </r>
      </text>
    </comment>
    <comment ref="AE4" authorId="1">
      <text>
        <r>
          <rPr>
            <sz val="9"/>
            <color indexed="81"/>
            <rFont val="Tahoma"/>
            <family val="2"/>
            <charset val="204"/>
          </rPr>
          <t>Средневзвешенное значение. В качестве "веса" используется номер колена</t>
        </r>
      </text>
    </comment>
    <comment ref="I5" authorId="1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начинает применяться Mult. До округления лот ордера MultStart колена = MinLot * Mult</t>
        </r>
      </text>
    </comment>
    <comment ref="AE5" authorId="1">
      <text>
        <r>
          <rPr>
            <sz val="9"/>
            <color indexed="81"/>
            <rFont val="Tahoma"/>
            <family val="2"/>
            <charset val="204"/>
          </rPr>
          <t>Средневзвешенное значение. В качестве "веса" используется номер колена</t>
        </r>
      </text>
    </comment>
    <comment ref="P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Z6" authorId="1">
      <text>
        <r>
          <rPr>
            <sz val="9"/>
            <color indexed="81"/>
            <rFont val="Tahoma"/>
            <family val="2"/>
            <charset val="204"/>
          </rPr>
          <t>Средневзвешенное значение. В качестве "веса" используется номер колена</t>
        </r>
      </text>
    </comment>
    <comment ref="A7" authorId="1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TakeProffit будет корректироваться на TakeProffit_Level1Corr (на каждом колене)</t>
        </r>
      </text>
    </comment>
    <comment ref="E7" authorId="1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(включительно) текущий шаг сетки будет корректироваться на GridStep_AddPips пипсов (на каждом колене)</t>
        </r>
      </text>
    </comment>
    <comment ref="I7" authorId="1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(включительно) Mult корректируется на величину MultCorr (на каждом колене)</t>
        </r>
      </text>
    </comment>
    <comment ref="Z7" authorId="1">
      <text>
        <r>
          <rPr>
            <sz val="9"/>
            <color indexed="81"/>
            <rFont val="Tahoma"/>
            <family val="2"/>
            <charset val="204"/>
          </rPr>
          <t>Средневзвешенное значение. В качестве "веса" используется номер колена</t>
        </r>
      </text>
    </comment>
    <comment ref="AH7" authorId="1">
      <text>
        <r>
          <rPr>
            <sz val="10"/>
            <color indexed="81"/>
            <rFont val="Tahoma"/>
            <family val="2"/>
            <charset val="204"/>
          </rPr>
          <t>Доступный пользователям блок ячеек для ввода параметров/настроек сетки и необходимых для расчетов параметров конкретного счета и конкретной валютной пары (цена пипса, комиссия, залог за одну пару и stopout в %%) - для каждой пары и каждого счета они разные.
Причем залог и цена пипса меняется вместе с ценой пары - и их надо достаточно регулярно уточнять и обновлять в Модели</t>
        </r>
        <r>
          <rPr>
            <sz val="9"/>
            <color indexed="81"/>
            <rFont val="Tahoma"/>
            <family val="2"/>
            <charset val="204"/>
          </rPr>
          <t xml:space="preserve">.
</t>
        </r>
      </text>
    </comment>
    <comment ref="A8" authorId="1">
      <text>
        <r>
          <rPr>
            <sz val="9"/>
            <color indexed="81"/>
            <rFont val="Tahoma"/>
            <family val="2"/>
            <charset val="204"/>
          </rPr>
          <t>Количество пипсов, на которое корректируется текущее/расчетное значение ТР, начиная с TakeProffit_Level1 колена. Может быть &gt;0 или &lt;0</t>
        </r>
      </text>
    </comment>
    <comment ref="E8" authorId="1">
      <text>
        <r>
          <rPr>
            <sz val="9"/>
            <color indexed="81"/>
            <rFont val="Tahoma"/>
            <family val="2"/>
            <charset val="204"/>
          </rPr>
          <t>Количество пипсов, на которое будет корректироваться текущий шаг сетки на каждом колене, начиная с колена S_GridLevel. Может быть =0, &gt;0 и даже &lt;0</t>
        </r>
      </text>
    </comment>
    <comment ref="I8" authorId="1">
      <text>
        <r>
          <rPr>
            <sz val="9"/>
            <color indexed="81"/>
            <rFont val="Tahoma"/>
            <family val="2"/>
            <charset val="204"/>
          </rPr>
          <t>Величина коррекции (на каждом колене) текущего/расчетного значения множителя лота сетки, начиная с колена MultLevel2 включительно</t>
        </r>
      </text>
    </comment>
    <comment ref="P8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ценой, брать из лога бота, скрипта Info или любого источника. Решающе зависит от плеча. Нужен для оценки минимально нужного депо и размера просадки до StopOut.</t>
        </r>
      </text>
    </comment>
    <comment ref="A10" authorId="1">
      <text>
        <r>
          <rPr>
            <sz val="9"/>
            <color indexed="81"/>
            <rFont val="Tahoma"/>
            <family val="2"/>
            <charset val="204"/>
          </rPr>
          <t>№ п/п ордера (колена) SELL сетки, начиная с которого текущий/расчетный  TР сетки (в пипсах) будет корректироваться на S_TakeProffit_Level1_5Corr пипсов (на каждом колене)</t>
        </r>
      </text>
    </comment>
    <comment ref="E10" authorId="1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(включительно) текущий шаг сетки будет корректироваться на GridStep_Level2_AddPips пипс (на каждом колене)</t>
        </r>
      </text>
    </comment>
    <comment ref="I10" authorId="1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(включительно) Mult корректируется на величину MultСorrLevel3 (на каждом колене)</t>
        </r>
      </text>
    </comment>
    <comment ref="P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A11" authorId="1">
      <text>
        <r>
          <rPr>
            <sz val="9"/>
            <color indexed="81"/>
            <rFont val="Tahoma"/>
            <family val="2"/>
            <charset val="204"/>
          </rPr>
          <t>Количество пипсов, на которое корректируется текущее/расчетное значение ТР сетки в пипсах, начиная с S_TakeProffit_Level1_5 колена. Может быть &gt;0 или &lt;0</t>
        </r>
      </text>
    </comment>
    <comment ref="E11" authorId="1">
      <text>
        <r>
          <rPr>
            <sz val="9"/>
            <color indexed="81"/>
            <rFont val="Tahoma"/>
            <family val="2"/>
            <charset val="204"/>
          </rPr>
          <t>Количество пипсов, на которое будет корректироваться текущий шаг сетки на каждом колене, начиная с колена GridLevel_Level2. Может быть =0, &gt;0 и даже &lt;0</t>
        </r>
      </text>
    </comment>
    <comment ref="I11" authorId="1">
      <text>
        <r>
          <rPr>
            <sz val="9"/>
            <color indexed="81"/>
            <rFont val="Tahoma"/>
            <family val="2"/>
            <charset val="204"/>
          </rPr>
          <t>Величина коррекции (на каждом колене) текущего/расчетного значения множителя лота сетки, начиная с колена MultLevel3 включительно</t>
        </r>
      </text>
    </comment>
    <comment ref="A13" authorId="1">
      <text>
        <r>
          <rPr>
            <sz val="9"/>
            <color indexed="81"/>
            <rFont val="Tahoma"/>
            <family val="2"/>
            <charset val="204"/>
          </rPr>
          <t>№ п/п ордера (колена) SELL сетки, начиная с которого уровень ТР сетки в пипсах фиксируется и жестко выставляется на уровень без убытка минус S_TakeProffit_Level2FixPips</t>
        </r>
      </text>
    </comment>
    <comment ref="E13" authorId="1">
      <text>
        <r>
          <rPr>
            <sz val="9"/>
            <color indexed="81"/>
            <rFont val="Tahoma"/>
            <family val="2"/>
            <charset val="204"/>
          </rPr>
          <t xml:space="preserve">Если =0 - отключен. GridStop это № колена, на котором поправки шага сетки срабатывают последний раз.
До конца сетки (после GridStop колена) шаг становится фиксированным и равным шагу сетки на GridStop колене.
</t>
        </r>
      </text>
    </comment>
    <comment ref="I13" authorId="1">
      <text>
        <r>
          <rPr>
            <sz val="9"/>
            <color indexed="81"/>
            <rFont val="Tahoma"/>
            <family val="2"/>
            <charset val="204"/>
          </rPr>
          <t xml:space="preserve">Если = 0 - отключена. MultStop это №колена, на котором последний раз применяются корректирующие мульт параметры MultCorr и MultСorrLevel3 (если пользователь их задействовал).
MultStop это номер колена, после которого до конца сетки множитель лота (мульт) фиксируется и будет одинаковым вплоть до последнего колена сетки (включительно).
</t>
        </r>
      </text>
    </comment>
    <comment ref="A14" authorId="1">
      <text>
        <r>
          <rPr>
            <sz val="9"/>
            <color indexed="81"/>
            <rFont val="Tahoma"/>
            <family val="2"/>
            <charset val="204"/>
          </rPr>
          <t>Количество пипсов отступа в плюс (прибыли) от уровня безубытка SELL сетки, фиксировано выставляемого начиная с S_TakeProffit_Level2 колена сетки.</t>
        </r>
      </text>
    </comment>
    <comment ref="I14" authorId="1">
      <text>
        <r>
          <rPr>
            <sz val="9"/>
            <color indexed="81"/>
            <rFont val="Tahoma"/>
            <family val="2"/>
            <charset val="204"/>
          </rPr>
          <t xml:space="preserve">MaxLotCoef это задаваемый пользователем коэффициент максимального лота ордера любого колена сетки.
MaxLotCoef позволяет вычислить максимальный лот, с которым боту разрешено открывать рыночные (выставлять отложенные) ордера.
Ордера с лотом большим, чем разрешенным|заданным MaxLotCoef, бот открывать не будет.    Если MaxLotCoef=0 – контроль/ограничение максимального лота ордера отключено.
Традиционно в ботах максимально разрешенный лот ордера в сетке задается константой в лотах. У нас максимально допустимый лот ордера в сетке вычисляется от лота первого ордера сетки - что делает максимального лот ордера динамическим и пропорциональным размеру депо (если CurrencyForMinLot&gt;0 и лот первого ордера сетки не фиксированный, а вычисляемый в зависимости от размера депо).
MaxLotCoef указывает максимальный ордер в сетке как максимально разрешенное количество первых ордеров сетки – с лотом фиксированным или вычисленным в зависимости от размера депо.
Если расчетный лот очередного ордера сетки превысит MaxLotCoef * лот первого ордера сетки, то откроется ордер с лотом равным MaxLotCoef * лот первого ордера сетки.
Например, MaxLotCoef=150, при первом ордере сетки 0.02 лота, разрешают максимальный ордер для sell сеток =3 лота.    Данная опция позволяет применять усреднение на последних ордерах сеток.
</t>
        </r>
      </text>
    </comment>
    <comment ref="F15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5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5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5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5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5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ордеров).</t>
        </r>
      </text>
    </comment>
    <comment ref="AB15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D15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AH15" authorId="1">
      <text>
        <r>
          <rPr>
            <sz val="10"/>
            <color indexed="81"/>
            <rFont val="Tahoma"/>
            <family val="2"/>
            <charset val="204"/>
          </rPr>
          <t>Защищенный от случайного стирания/повреждения блок собственно модели, где выполняются, как я считаю, все необходимые пользователям расчеты и визуализируется вся необходимая пользователям Бота информация.</t>
        </r>
      </text>
    </comment>
    <comment ref="P16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6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6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6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6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17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  <comment ref="B120" authorId="1">
      <text>
        <r>
          <rPr>
            <sz val="10"/>
            <color indexed="81"/>
            <rFont val="Tahoma"/>
            <family val="2"/>
            <charset val="204"/>
          </rPr>
          <t>Блок расчета и визуализации ТakeРrofit: количества пипсов чистой прибыли - размещаются после/дальше уровня безубытка сетки в направлении начала сетки.
Зона ТР сетки, в зависимости от количества колен и длины сетки, может начинаться как в 7-10, так и в 100 пипсах от старшего ордера сетки.
В большинстве средних по агрессивности сеток из 3-х и более ордеров зона ТР размещается/завершается в районе 3-го из максимальных ордеров сетки.</t>
        </r>
      </text>
    </comment>
    <comment ref="F120" authorId="1">
      <text>
        <r>
          <rPr>
            <sz val="10"/>
            <color indexed="81"/>
            <rFont val="Tahoma"/>
            <family val="2"/>
            <charset val="204"/>
          </rPr>
          <t xml:space="preserve">Блок расчета и визуализации шагов колен/ордеров сетки и критично важной длины сетки.
В этом блоке определяется расстановка ордеров таким образом, чтобы не только перекрыть вероятный торговый диапазон пары (например, =350 пипсов), но и расставить первые 5-7-10 ордеров (в среднем &gt;95% сеток именно таких) оптимально для быстрого закрытия сетки по ТР на минимальном отскоке цены и с учетом устраивающей вас прибыли.
</t>
        </r>
      </text>
    </comment>
    <comment ref="J120" authorId="1">
      <text>
        <r>
          <rPr>
            <sz val="10"/>
            <color indexed="81"/>
            <rFont val="Tahoma"/>
            <family val="2"/>
            <charset val="204"/>
          </rPr>
          <t xml:space="preserve">Блок расчета и визуализации лотов ордеров сетки.
Чрезвычайно важный блок, в который нами еще будут добавлены дополнительные опции контроля и модифицирования лотности сетки.
То, что будет добавлено в Бота, будет добавлено и в Модель.
</t>
        </r>
      </text>
    </comment>
    <comment ref="Q120" authorId="1">
      <text>
        <r>
          <rPr>
            <sz val="10"/>
            <color indexed="81"/>
            <rFont val="Tahoma"/>
            <family val="2"/>
            <charset val="204"/>
          </rPr>
          <t xml:space="preserve">Блок расчета и визуализации первой, наиболее анализируемой части характеристик проектируемой сетки.
Здесь, для каждого колена сетки, показаны уровни безубытка и ТР сетки - информация исключительной важности для оценки вероятности и частоты закрываемости сетки по ТР с учетом фибо уровней вероятных отскоков/коррекций.
Здесь же расчетная просадка, крайне важная для верного контроля ММ.
Здесь же и расчетная прибыль на каждом колене - крайне важная для анализа степени агрессивности сетки и адекватности проектирования сетки, в том числе на младших коленах.  </t>
        </r>
      </text>
    </comment>
    <comment ref="X120" authorId="1">
      <text>
        <r>
          <rPr>
            <sz val="10"/>
            <color indexed="81"/>
            <rFont val="Tahoma"/>
            <family val="2"/>
            <charset val="204"/>
          </rPr>
          <t xml:space="preserve">Блок расчета и визуализации информации о залоге и средствах, которые необходимо на залог резервировать.
По данному вопросу терминал информации практически не выдает - а она исключительно важна.
Многих удивит, что даже на плече 1:500 на первых 7 коленах сетки залог обычно превышает просадку - что означает, что минимальный депо должен более чем вдвое превышать просадку, на которую все не отрывая глаз смотрят при тестировании ботов.
Так что тем, кто хочет пробовать торговать депо-камикадзе, надо предельно серьезно отнестись к информации из 5-го блока Модели. 
</t>
        </r>
      </text>
    </comment>
    <comment ref="AD120" authorId="1">
      <text>
        <r>
          <rPr>
            <sz val="10"/>
            <color indexed="81"/>
            <rFont val="Tahoma"/>
            <family val="2"/>
            <charset val="204"/>
          </rPr>
          <t>Блок расчета и визуализации информации о депо, необходимом для проектируемой вами сетки, и финальная информация о том на сколько пипсов движения цены хватит указанного вами депо.
Вычисление необходимого вам для торгов спроектированной вами сеткой депо требует максимум одного сложения или вычитания с занесением результата в ячейку "Депо, $".</t>
        </r>
      </text>
    </comment>
  </commentList>
</comments>
</file>

<file path=xl/comments2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</t>
        </r>
      </text>
    </comment>
  </commentList>
</comments>
</file>

<file path=xl/connections.xml><?xml version="1.0" encoding="utf-8"?>
<connections xmlns="http://schemas.openxmlformats.org/spreadsheetml/2006/main">
  <connection id="1" keepAlive="1" name="Запрос — Table 0" description="Соединение с запросом &quot;Table 0&quot; в книге." type="5" refreshedVersion="6" background="1" refreshOnLoad="1" saveData="1">
    <dbPr connection="Provider=Microsoft.Mashup.OleDb.1;Data Source=$Workbook$;Location=Table 0;Extended Properties=&quot;&quot;" command="SELECT * FROM [Table 0]"/>
  </connection>
  <connection id="2" keepAlive="1" name="Запрос — Table 1" description="Соединение с запросом &quot;Table 1&quot; в книге." type="5" refreshedVersion="6" background="1" refreshOnLoad="1" saveData="1">
    <dbPr connection="Provider=Microsoft.Mashup.OleDb.1;Data Source=$Workbook$;Location=Table 1;Extended Properties=&quot;&quot;" command="SELECT * FROM [Table 1]"/>
  </connection>
</connections>
</file>

<file path=xl/sharedStrings.xml><?xml version="1.0" encoding="utf-8"?>
<sst xmlns="http://schemas.openxmlformats.org/spreadsheetml/2006/main" count="340" uniqueCount="233">
  <si>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</si>
  <si>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</si>
  <si>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</si>
  <si>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</si>
  <si>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</si>
  <si>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</si>
  <si>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</si>
  <si>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</si>
  <si>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</si>
  <si>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</si>
  <si>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GridStep</t>
  </si>
  <si>
    <t>GridLevel</t>
  </si>
  <si>
    <t>GridStep_AddPips</t>
  </si>
  <si>
    <t>GridStep_Level2</t>
  </si>
  <si>
    <t>GridStep_Level2_AddPips</t>
  </si>
  <si>
    <t>Коррект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</si>
  <si>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</si>
  <si>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</si>
  <si>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</si>
  <si>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</si>
  <si>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</si>
  <si>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</si>
  <si>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</si>
  <si>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</si>
  <si>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</si>
  <si>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Цена пипса, $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</si>
  <si>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</si>
  <si>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</si>
  <si>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</si>
  <si>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</si>
  <si>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</si>
  <si>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</si>
  <si>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</si>
  <si>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>(включая комиссию)</t>
    </r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</si>
  <si>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</si>
  <si>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</si>
  <si>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</si>
  <si>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</si>
  <si>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</si>
  <si>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</si>
  <si>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>Валютная пара</t>
  </si>
  <si>
    <t>Цена пункта, $</t>
  </si>
  <si>
    <t>№№ пп</t>
  </si>
  <si>
    <t>Св.Маржа = Депо - просадка-залог, $</t>
  </si>
  <si>
    <t>GridStop</t>
  </si>
  <si>
    <t>MultStop</t>
  </si>
  <si>
    <t>Кор-рект</t>
  </si>
  <si>
    <t>CalcLotType</t>
  </si>
  <si>
    <t>MaxLotCoef</t>
  </si>
  <si>
    <t>Column1</t>
  </si>
  <si>
    <t>Валюта</t>
  </si>
  <si>
    <t>Пипсы</t>
  </si>
  <si>
    <t>%</t>
  </si>
  <si>
    <t/>
  </si>
  <si>
    <t>GBP/JPY</t>
  </si>
  <si>
    <t>GBP/NZD</t>
  </si>
  <si>
    <t>AUD/CAD</t>
  </si>
  <si>
    <t>GBP/USD</t>
  </si>
  <si>
    <t>AUD/CHF</t>
  </si>
  <si>
    <t>NZD/JPY</t>
  </si>
  <si>
    <t>AUD/JPY</t>
  </si>
  <si>
    <t>NZD/USD</t>
  </si>
  <si>
    <t>AUD/NZD</t>
  </si>
  <si>
    <t>USD/BRL</t>
  </si>
  <si>
    <t>AUD/USD</t>
  </si>
  <si>
    <t>USD/CAD</t>
  </si>
  <si>
    <t>BTC/EUR</t>
  </si>
  <si>
    <t>USD/CHF</t>
  </si>
  <si>
    <t>BTC/USD</t>
  </si>
  <si>
    <t>CAD/CHF</t>
  </si>
  <si>
    <t>USD/DKK</t>
  </si>
  <si>
    <t>CAD/JPY</t>
  </si>
  <si>
    <t>USD/HKD</t>
  </si>
  <si>
    <t>CHF/JPY</t>
  </si>
  <si>
    <t>USD/ILS</t>
  </si>
  <si>
    <t>EUR/AUD</t>
  </si>
  <si>
    <t>USD/INR</t>
  </si>
  <si>
    <t>EUR/CAD</t>
  </si>
  <si>
    <t>USD/JPY</t>
  </si>
  <si>
    <t>EUR/CHF</t>
  </si>
  <si>
    <t>EUR/GBP</t>
  </si>
  <si>
    <t>USD/SEK</t>
  </si>
  <si>
    <t>EUR/JPY</t>
  </si>
  <si>
    <t>USD/SGD</t>
  </si>
  <si>
    <t>EUR/NZD</t>
  </si>
  <si>
    <t>USD/TRY</t>
  </si>
  <si>
    <t>EUR/USD</t>
  </si>
  <si>
    <t>XAG/USD</t>
  </si>
  <si>
    <t>GBP/AUD</t>
  </si>
  <si>
    <t>XAU/USD</t>
  </si>
  <si>
    <t>GBP/CAD</t>
  </si>
  <si>
    <t>GBP/CHF</t>
  </si>
  <si>
    <t>Спред</t>
  </si>
  <si>
    <t>NZD/CAD</t>
  </si>
  <si>
    <t>NZD/CHF</t>
  </si>
  <si>
    <t>USD/CNY</t>
  </si>
  <si>
    <t>USD/MXN</t>
  </si>
  <si>
    <t>USD/RUB</t>
  </si>
  <si>
    <t>USD/ZAR</t>
  </si>
  <si>
    <t>0,04</t>
  </si>
  <si>
    <r>
      <t>Просадка,</t>
    </r>
    <r>
      <rPr>
        <sz val="12"/>
        <color indexed="12"/>
        <rFont val="Arial"/>
        <family val="2"/>
        <charset val="204"/>
      </rPr>
      <t xml:space="preserve"> 
$ / %</t>
    </r>
  </si>
  <si>
    <r>
      <t xml:space="preserve">Безубыток, 
</t>
    </r>
    <r>
      <rPr>
        <sz val="10"/>
        <rFont val="Arial"/>
        <family val="2"/>
        <charset val="204"/>
      </rPr>
      <t>пипсов / %</t>
    </r>
  </si>
  <si>
    <r>
      <t xml:space="preserve">ТР, 
</t>
    </r>
    <r>
      <rPr>
        <sz val="10"/>
        <rFont val="Arial"/>
        <family val="2"/>
        <charset val="204"/>
      </rPr>
      <t>пипсов / %</t>
    </r>
  </si>
  <si>
    <t>$</t>
  </si>
  <si>
    <t>Сумма лотов</t>
  </si>
  <si>
    <r>
      <rPr>
        <b/>
        <sz val="10"/>
        <rFont val="Arial Cyr"/>
        <charset val="204"/>
      </rPr>
      <t>Шаг</t>
    </r>
    <r>
      <rPr>
        <sz val="10"/>
        <rFont val="Arial Cyr"/>
        <charset val="204"/>
      </rPr>
      <t>, писпсов</t>
    </r>
  </si>
  <si>
    <r>
      <t>Количество</t>
    </r>
    <r>
      <rPr>
        <sz val="10"/>
        <rFont val="Arial Cyr"/>
        <charset val="204"/>
      </rPr>
      <t>, колен</t>
    </r>
  </si>
  <si>
    <r>
      <rPr>
        <b/>
        <sz val="10"/>
        <rFont val="Arial Cyr"/>
        <charset val="204"/>
      </rPr>
      <t>Прибыль первого колена</t>
    </r>
    <r>
      <rPr>
        <sz val="10"/>
        <rFont val="Arial Cyr"/>
        <charset val="204"/>
      </rPr>
      <t>, $ / %</t>
    </r>
  </si>
  <si>
    <r>
      <rPr>
        <b/>
        <sz val="10"/>
        <rFont val="Arial Cyr"/>
        <charset val="204"/>
      </rPr>
      <t>Прибыль последнего колена</t>
    </r>
    <r>
      <rPr>
        <sz val="10"/>
        <rFont val="Arial Cyr"/>
        <charset val="204"/>
      </rPr>
      <t>, $ / %</t>
    </r>
  </si>
  <si>
    <t>% депо</t>
  </si>
  <si>
    <t>Пипсов</t>
  </si>
  <si>
    <t>%%</t>
  </si>
  <si>
    <t>Колена N</t>
  </si>
  <si>
    <t>1го ордера</t>
  </si>
  <si>
    <t>Параметры сетки</t>
  </si>
  <si>
    <t>Характеристика сетки</t>
  </si>
  <si>
    <t>Шаблоны</t>
  </si>
  <si>
    <t>Характеристики пары</t>
  </si>
  <si>
    <t xml:space="preserve">Спред </t>
  </si>
  <si>
    <t>в разработке</t>
  </si>
  <si>
    <r>
      <rPr>
        <b/>
        <sz val="10"/>
        <rFont val="Arial Cyr"/>
        <charset val="204"/>
      </rPr>
      <t>КПД (прибыль/просадка)</t>
    </r>
    <r>
      <rPr>
        <sz val="10"/>
        <rFont val="Arial Cyr"/>
        <charset val="204"/>
      </rPr>
      <t>, %</t>
    </r>
  </si>
  <si>
    <t>Заполняется вручную, согласно типу счета и торгуемым условиям вашего брокера</t>
  </si>
  <si>
    <t>Таблица обновляется автоматически при откртыии модели с сайта:</t>
  </si>
  <si>
    <r>
      <rPr>
        <b/>
        <sz val="10"/>
        <rFont val="Arial Cyr"/>
        <charset val="204"/>
      </rPr>
      <t>Длина</t>
    </r>
    <r>
      <rPr>
        <sz val="10"/>
        <rFont val="Arial Cyr"/>
        <charset val="204"/>
      </rPr>
      <t>, пипсов</t>
    </r>
  </si>
  <si>
    <r>
      <t>Запас пр-ти</t>
    </r>
    <r>
      <rPr>
        <sz val="10"/>
        <rFont val="Arial Cyr"/>
        <charset val="204"/>
      </rPr>
      <t>, пипсов</t>
    </r>
  </si>
  <si>
    <r>
      <rPr>
        <b/>
        <sz val="10"/>
        <rFont val="Arial Cyr"/>
        <charset val="204"/>
      </rPr>
      <t>БУ</t>
    </r>
    <r>
      <rPr>
        <sz val="10"/>
        <rFont val="Arial Cyr"/>
        <charset val="204"/>
      </rPr>
      <t>, пипсов / %</t>
    </r>
  </si>
  <si>
    <r>
      <rPr>
        <b/>
        <sz val="10"/>
        <rFont val="Arial Cyr"/>
        <charset val="204"/>
      </rPr>
      <t>ТР</t>
    </r>
    <r>
      <rPr>
        <sz val="10"/>
        <rFont val="Arial Cyr"/>
        <charset val="204"/>
      </rPr>
      <t>, пипсов / %</t>
    </r>
  </si>
  <si>
    <t>БУ пос-го колена</t>
  </si>
  <si>
    <t>ТР пос-го колена</t>
  </si>
  <si>
    <t>1,09</t>
  </si>
  <si>
    <t>0,63</t>
  </si>
  <si>
    <t>TakeProffit_Level1_5</t>
  </si>
  <si>
    <t>TakeProffit_Level1_5Corr</t>
  </si>
  <si>
    <t>1,08</t>
  </si>
  <si>
    <t>Ручное обновление: вкладка Данные &gt; Обновить все</t>
  </si>
  <si>
    <t>1,10</t>
  </si>
  <si>
    <t>2,84</t>
  </si>
  <si>
    <t>1,42</t>
  </si>
  <si>
    <t>1,36</t>
  </si>
  <si>
    <t>1,26</t>
  </si>
  <si>
    <t>0,24</t>
  </si>
  <si>
    <t>0,97</t>
  </si>
  <si>
    <t>1,88</t>
  </si>
  <si>
    <r>
      <rPr>
        <b/>
        <sz val="10"/>
        <rFont val="Arial Cyr"/>
        <charset val="204"/>
      </rPr>
      <t>Просадка</t>
    </r>
    <r>
      <rPr>
        <sz val="10"/>
        <rFont val="Arial Cyr"/>
        <charset val="204"/>
      </rPr>
      <t>, $ / $</t>
    </r>
  </si>
  <si>
    <r>
      <rPr>
        <b/>
        <sz val="10"/>
        <rFont val="Arial Cyr"/>
        <charset val="204"/>
      </rPr>
      <t>Прибыль</t>
    </r>
    <r>
      <rPr>
        <sz val="10"/>
        <rFont val="Arial Cyr"/>
        <charset val="204"/>
      </rPr>
      <t>, $ / %</t>
    </r>
  </si>
  <si>
    <t>1,37</t>
  </si>
  <si>
    <t>0,81</t>
  </si>
  <si>
    <t>0,46</t>
  </si>
  <si>
    <t>7,445,61</t>
  </si>
  <si>
    <t>1,20</t>
  </si>
  <si>
    <t>1,72</t>
  </si>
  <si>
    <t>44,96</t>
  </si>
  <si>
    <t>2,56</t>
  </si>
  <si>
    <t>1,710,10</t>
  </si>
  <si>
    <t>0,99</t>
  </si>
  <si>
    <t>1,47</t>
  </si>
  <si>
    <t>1,41</t>
  </si>
  <si>
    <t>1,21</t>
  </si>
  <si>
    <t>1,15</t>
  </si>
  <si>
    <t>238,42</t>
  </si>
  <si>
    <t>101,64</t>
  </si>
  <si>
    <t>1,38</t>
  </si>
  <si>
    <t>82,20</t>
  </si>
  <si>
    <t>562,24</t>
  </si>
  <si>
    <t>1,75</t>
  </si>
  <si>
    <t>163,06</t>
  </si>
  <si>
    <t>647,06</t>
  </si>
  <si>
    <t>31,48</t>
  </si>
  <si>
    <t>308,90</t>
  </si>
  <si>
    <t>309,54</t>
  </si>
  <si>
    <t>3,574,14</t>
  </si>
  <si>
    <t>85,94</t>
  </si>
  <si>
    <t>524,10</t>
  </si>
  <si>
    <t>3,153,86</t>
  </si>
  <si>
    <t>2,28</t>
  </si>
  <si>
    <t>97,64</t>
  </si>
  <si>
    <t>1,32</t>
  </si>
  <si>
    <t>114,62</t>
  </si>
  <si>
    <t>104,64</t>
  </si>
  <si>
    <t>1,585,10</t>
  </si>
  <si>
    <t>1,478,18</t>
  </si>
  <si>
    <t>2,40</t>
  </si>
  <si>
    <t>80,56</t>
  </si>
  <si>
    <t>109,20</t>
  </si>
  <si>
    <t>114,98</t>
  </si>
  <si>
    <t>178,88</t>
  </si>
  <si>
    <t>157,06</t>
  </si>
  <si>
    <t>1,06</t>
  </si>
  <si>
    <t>69,34</t>
  </si>
  <si>
    <t>124,24</t>
  </si>
  <si>
    <t>174,56</t>
  </si>
  <si>
    <t>1,12</t>
  </si>
  <si>
    <t>232,62</t>
  </si>
  <si>
    <t>207,82</t>
  </si>
  <si>
    <t>146,30</t>
  </si>
  <si>
    <t>198,10</t>
  </si>
  <si>
    <t>1,55</t>
  </si>
  <si>
    <t>Прибыль, 
$ / %</t>
  </si>
  <si>
    <t>1:1000</t>
  </si>
  <si>
    <t>5-хзнак</t>
  </si>
  <si>
    <t>(F4You)</t>
  </si>
  <si>
    <t>EURUSD</t>
  </si>
  <si>
    <t>GBPUSD</t>
  </si>
  <si>
    <t>USDCHF</t>
  </si>
  <si>
    <t>USDJPY</t>
  </si>
  <si>
    <t>USDCAD</t>
  </si>
  <si>
    <t>AUDUSD</t>
  </si>
  <si>
    <t>Фильтры спреда</t>
  </si>
  <si>
    <t>MaxSpread</t>
  </si>
  <si>
    <t>MaxSpreadStopTradingTimining</t>
  </si>
  <si>
    <t>Блок безиндикаторного входа</t>
  </si>
  <si>
    <t>OpenFirstOrderTF</t>
  </si>
  <si>
    <t>CandlesToOpen1Order</t>
  </si>
  <si>
    <t>CandlesToOpen1Order_OpenClose</t>
  </si>
  <si>
    <t>CandlesToOpen1Order_MinPips</t>
  </si>
  <si>
    <t>CandlesToOpen1Order_MaxPips</t>
  </si>
  <si>
    <t>ReversSignalToOpen1Order</t>
  </si>
  <si>
    <t>Блок гэп-контроля</t>
  </si>
  <si>
    <t>GapControl</t>
  </si>
  <si>
    <t>GapMaxStopOrders</t>
  </si>
  <si>
    <t>GapMinDistanceFromMarket</t>
  </si>
  <si>
    <t>S_GapMinPips</t>
  </si>
  <si>
    <t>S_GapMinPercent</t>
  </si>
  <si>
    <t>S_GapLotKoef</t>
  </si>
  <si>
    <t>S_GapLastOrderKoef</t>
  </si>
  <si>
    <t>Фильтр волатильности</t>
  </si>
  <si>
    <t>VolCandleTF</t>
  </si>
  <si>
    <t>VolCandleMaxSize</t>
  </si>
  <si>
    <t>VolStopTradeTimining</t>
  </si>
  <si>
    <t>1 мин.</t>
  </si>
  <si>
    <t>true</t>
  </si>
  <si>
    <t>op_stop</t>
  </si>
  <si>
    <t>Информация на 11.04.2017 (F4You)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</si>
</sst>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</numFmts>
  <fonts count="67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20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b/>
      <sz val="11"/>
      <color indexed="21"/>
      <name val="Calibri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1"/>
      <color indexed="12"/>
      <name val="Calibri"/>
      <family val="2"/>
      <charset val="204"/>
    </font>
    <font>
      <sz val="10"/>
      <color indexed="12"/>
      <name val="Arial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0"/>
      <color indexed="20"/>
      <name val="Arial Narrow"/>
      <family val="2"/>
      <charset val="204"/>
    </font>
    <font>
      <b/>
      <sz val="10"/>
      <color indexed="21"/>
      <name val="Arial Narrow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u/>
      <sz val="10"/>
      <color theme="10"/>
      <name val="Arial Cyr"/>
      <charset val="204"/>
    </font>
    <font>
      <sz val="12"/>
      <color indexed="12"/>
      <name val="Arial"/>
      <family val="2"/>
      <charset val="204"/>
    </font>
    <font>
      <b/>
      <u/>
      <sz val="11"/>
      <color rgb="FF000000"/>
      <name val="Calibri"/>
      <family val="2"/>
      <charset val="204"/>
    </font>
    <font>
      <b/>
      <sz val="36"/>
      <color indexed="48"/>
      <name val="Arial Cyr"/>
      <charset val="204"/>
    </font>
    <font>
      <b/>
      <sz val="36"/>
      <color rgb="FFFF6633"/>
      <name val="Arial Cyr"/>
      <charset val="204"/>
    </font>
    <font>
      <sz val="9"/>
      <color indexed="81"/>
      <name val="Tahoma"/>
      <family val="2"/>
      <charset val="204"/>
    </font>
    <font>
      <sz val="10"/>
      <color indexed="81"/>
      <name val="Tahoma"/>
      <family val="2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b/>
      <sz val="10"/>
      <color indexed="12"/>
      <name val="Arial Narrow"/>
      <family val="2"/>
      <charset val="204"/>
    </font>
    <font>
      <sz val="11"/>
      <name val="Arial Cyr"/>
    </font>
    <font>
      <b/>
      <sz val="10"/>
      <color theme="0"/>
      <name val="Arial Cyr"/>
      <charset val="204"/>
    </font>
    <font>
      <b/>
      <sz val="12"/>
      <color theme="8" tint="-0.249977111117893"/>
      <name val="Arial Cyr"/>
      <charset val="204"/>
    </font>
    <font>
      <sz val="10"/>
      <color theme="0"/>
      <name val="Arial Cyr"/>
      <charset val="204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C00000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rgb="FF00B0F0"/>
      </right>
      <top/>
      <bottom/>
      <diagonal/>
    </border>
    <border>
      <left style="thick">
        <color rgb="FF00B0F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rgb="FF00B0F0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2" fillId="0" borderId="0" applyNumberFormat="0" applyFill="0" applyBorder="0" applyAlignment="0" applyProtection="0"/>
    <xf numFmtId="9" fontId="1" fillId="0" borderId="0" applyFont="0" applyFill="0" applyBorder="0" applyAlignment="0" applyProtection="0"/>
  </cellStyleXfs>
  <cellXfs count="279">
    <xf numFmtId="0" fontId="0" fillId="0" borderId="0" xfId="0"/>
    <xf numFmtId="2" fontId="10" fillId="0" borderId="0" xfId="0" applyNumberFormat="1" applyFont="1" applyProtection="1">
      <protection locked="0"/>
    </xf>
    <xf numFmtId="0" fontId="4" fillId="0" borderId="0" xfId="0" applyFont="1" applyProtection="1"/>
    <xf numFmtId="0" fontId="5" fillId="0" borderId="0" xfId="0" applyFont="1" applyProtection="1"/>
    <xf numFmtId="0" fontId="9" fillId="0" borderId="0" xfId="0" applyFont="1" applyProtection="1"/>
    <xf numFmtId="0" fontId="13" fillId="0" borderId="0" xfId="0" applyFont="1" applyProtection="1"/>
    <xf numFmtId="0" fontId="11" fillId="0" borderId="0" xfId="0" applyFont="1" applyProtection="1"/>
    <xf numFmtId="0" fontId="9" fillId="0" borderId="0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0" fillId="0" borderId="0" xfId="0" applyProtection="1"/>
    <xf numFmtId="0" fontId="0" fillId="0" borderId="0" xfId="0" applyAlignment="1">
      <alignment vertical="center"/>
    </xf>
    <xf numFmtId="0" fontId="19" fillId="0" borderId="0" xfId="0" applyFont="1" applyProtection="1"/>
    <xf numFmtId="2" fontId="11" fillId="0" borderId="0" xfId="0" applyNumberFormat="1" applyFont="1" applyProtection="1">
      <protection locked="0"/>
    </xf>
    <xf numFmtId="0" fontId="22" fillId="0" borderId="0" xfId="0" applyFont="1" applyProtection="1"/>
    <xf numFmtId="0" fontId="23" fillId="0" borderId="0" xfId="0" applyFont="1" applyProtection="1"/>
    <xf numFmtId="0" fontId="24" fillId="0" borderId="0" xfId="0" applyFont="1" applyProtection="1"/>
    <xf numFmtId="2" fontId="28" fillId="0" borderId="0" xfId="0" applyNumberFormat="1" applyFont="1" applyProtection="1">
      <protection locked="0"/>
    </xf>
    <xf numFmtId="2" fontId="8" fillId="0" borderId="0" xfId="0" applyNumberFormat="1" applyFont="1" applyProtection="1">
      <protection locked="0"/>
    </xf>
    <xf numFmtId="0" fontId="37" fillId="0" borderId="0" xfId="0" applyFont="1"/>
    <xf numFmtId="49" fontId="29" fillId="0" borderId="0" xfId="0" applyNumberFormat="1" applyFont="1" applyAlignment="1">
      <alignment horizontal="center"/>
    </xf>
    <xf numFmtId="0" fontId="1" fillId="0" borderId="0" xfId="0" applyFont="1"/>
    <xf numFmtId="0" fontId="38" fillId="0" borderId="0" xfId="0" applyFont="1" applyAlignment="1">
      <alignment horizontal="center"/>
    </xf>
    <xf numFmtId="169" fontId="32" fillId="0" borderId="4" xfId="0" applyNumberFormat="1" applyFont="1" applyBorder="1" applyAlignment="1">
      <alignment horizontal="right" vertical="center"/>
    </xf>
    <xf numFmtId="0" fontId="42" fillId="0" borderId="0" xfId="0" applyFont="1" applyAlignment="1">
      <alignment horizontal="left"/>
    </xf>
    <xf numFmtId="0" fontId="43" fillId="0" borderId="0" xfId="0" applyFont="1" applyProtection="1"/>
    <xf numFmtId="171" fontId="27" fillId="0" borderId="0" xfId="0" applyNumberFormat="1" applyFont="1" applyFill="1" applyAlignment="1" applyProtection="1">
      <alignment horizontal="center"/>
      <protection locked="0"/>
    </xf>
    <xf numFmtId="165" fontId="23" fillId="0" borderId="0" xfId="0" applyNumberFormat="1" applyFont="1" applyFill="1" applyAlignment="1" applyProtection="1">
      <alignment horizontal="center"/>
      <protection locked="0"/>
    </xf>
    <xf numFmtId="0" fontId="45" fillId="0" borderId="0" xfId="0" applyFont="1" applyProtection="1"/>
    <xf numFmtId="171" fontId="6" fillId="0" borderId="0" xfId="0" applyNumberFormat="1" applyFont="1" applyFill="1" applyAlignment="1" applyProtection="1">
      <alignment horizontal="center"/>
      <protection locked="0"/>
    </xf>
    <xf numFmtId="0" fontId="47" fillId="0" borderId="0" xfId="0" applyFont="1" applyAlignment="1" applyProtection="1">
      <alignment horizontal="center"/>
    </xf>
    <xf numFmtId="0" fontId="46" fillId="0" borderId="0" xfId="0" applyFont="1" applyAlignment="1" applyProtection="1">
      <alignment horizontal="left"/>
    </xf>
    <xf numFmtId="0" fontId="48" fillId="0" borderId="0" xfId="0" applyFont="1" applyProtection="1"/>
    <xf numFmtId="0" fontId="49" fillId="0" borderId="0" xfId="0" applyFont="1" applyProtection="1"/>
    <xf numFmtId="0" fontId="50" fillId="0" borderId="0" xfId="0" applyFont="1"/>
    <xf numFmtId="0" fontId="14" fillId="0" borderId="0" xfId="0" applyFont="1"/>
    <xf numFmtId="0" fontId="41" fillId="0" borderId="0" xfId="0" applyFont="1" applyAlignment="1"/>
    <xf numFmtId="0" fontId="0" fillId="5" borderId="0" xfId="0" applyFill="1"/>
    <xf numFmtId="171" fontId="25" fillId="5" borderId="0" xfId="0" applyNumberFormat="1" applyFont="1" applyFill="1" applyProtection="1"/>
    <xf numFmtId="171" fontId="44" fillId="5" borderId="0" xfId="0" applyNumberFormat="1" applyFont="1" applyFill="1" applyProtection="1"/>
    <xf numFmtId="0" fontId="0" fillId="5" borderId="0" xfId="0" applyFill="1" applyProtection="1"/>
    <xf numFmtId="0" fontId="0" fillId="0" borderId="0" xfId="0" applyNumberFormat="1"/>
    <xf numFmtId="169" fontId="32" fillId="0" borderId="8" xfId="0" applyNumberFormat="1" applyFont="1" applyFill="1" applyBorder="1" applyAlignment="1">
      <alignment horizontal="right" vertical="center"/>
    </xf>
    <xf numFmtId="169" fontId="32" fillId="0" borderId="4" xfId="0" applyNumberFormat="1" applyFont="1" applyFill="1" applyBorder="1" applyAlignment="1">
      <alignment horizontal="right" vertical="center"/>
    </xf>
    <xf numFmtId="0" fontId="32" fillId="0" borderId="1" xfId="0" applyFont="1" applyFill="1" applyBorder="1" applyAlignment="1">
      <alignment horizontal="left" vertical="center" indent="1"/>
    </xf>
    <xf numFmtId="0" fontId="32" fillId="0" borderId="1" xfId="0" applyFont="1" applyBorder="1" applyAlignment="1">
      <alignment horizontal="left" vertical="center" indent="1"/>
    </xf>
    <xf numFmtId="0" fontId="32" fillId="0" borderId="3" xfId="0" applyFont="1" applyFill="1" applyBorder="1" applyAlignment="1">
      <alignment horizontal="center" vertical="center"/>
    </xf>
    <xf numFmtId="0" fontId="0" fillId="0" borderId="11" xfId="0" applyBorder="1"/>
    <xf numFmtId="0" fontId="0" fillId="0" borderId="17" xfId="0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36" fillId="0" borderId="19" xfId="0" applyFont="1" applyBorder="1" applyAlignment="1">
      <alignment horizontal="center" vertical="center" wrapText="1"/>
    </xf>
    <xf numFmtId="0" fontId="36" fillId="0" borderId="20" xfId="0" applyFont="1" applyBorder="1" applyAlignment="1">
      <alignment horizontal="center" vertical="center" wrapText="1"/>
    </xf>
    <xf numFmtId="0" fontId="36" fillId="0" borderId="21" xfId="0" applyFont="1" applyBorder="1" applyAlignment="1">
      <alignment horizontal="center" vertical="center" wrapText="1"/>
    </xf>
    <xf numFmtId="0" fontId="0" fillId="0" borderId="25" xfId="0" applyBorder="1"/>
    <xf numFmtId="0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9" fontId="0" fillId="0" borderId="0" xfId="0" applyNumberFormat="1" applyFill="1" applyBorder="1" applyAlignment="1">
      <alignment horizontal="right" indent="1"/>
    </xf>
    <xf numFmtId="0" fontId="52" fillId="0" borderId="0" xfId="1"/>
    <xf numFmtId="0" fontId="0" fillId="0" borderId="0" xfId="0" applyFill="1" applyBorder="1" applyAlignment="1" applyProtection="1">
      <alignment horizontal="left" vertical="center"/>
    </xf>
    <xf numFmtId="0" fontId="17" fillId="0" borderId="0" xfId="0" applyFont="1"/>
    <xf numFmtId="0" fontId="0" fillId="0" borderId="0" xfId="0" applyBorder="1"/>
    <xf numFmtId="0" fontId="0" fillId="0" borderId="0" xfId="0" applyFill="1" applyBorder="1" applyAlignment="1" applyProtection="1">
      <alignment horizontal="right" vertical="center"/>
    </xf>
    <xf numFmtId="0" fontId="17" fillId="0" borderId="0" xfId="0" applyFont="1" applyFill="1" applyBorder="1" applyAlignment="1" applyProtection="1">
      <alignment horizontal="left" vertical="center"/>
    </xf>
    <xf numFmtId="0" fontId="0" fillId="0" borderId="0" xfId="0" applyBorder="1" applyAlignment="1" applyProtection="1">
      <alignment horizontal="right" vertical="center"/>
    </xf>
    <xf numFmtId="0" fontId="0" fillId="0" borderId="0" xfId="0" applyBorder="1" applyAlignment="1">
      <alignment horizontal="right" vertical="center"/>
    </xf>
    <xf numFmtId="0" fontId="17" fillId="0" borderId="0" xfId="0" applyFont="1" applyBorder="1" applyAlignment="1">
      <alignment horizontal="left" vertical="center"/>
    </xf>
    <xf numFmtId="0" fontId="17" fillId="0" borderId="0" xfId="0" applyFont="1" applyBorder="1" applyAlignment="1" applyProtection="1">
      <alignment horizontal="right" vertical="center"/>
    </xf>
    <xf numFmtId="0" fontId="17" fillId="0" borderId="0" xfId="0" applyFont="1" applyBorder="1" applyAlignment="1">
      <alignment horizontal="right" vertical="center"/>
    </xf>
    <xf numFmtId="1" fontId="17" fillId="0" borderId="0" xfId="0" applyNumberFormat="1" applyFont="1" applyBorder="1" applyAlignment="1">
      <alignment horizontal="right" vertical="center"/>
    </xf>
    <xf numFmtId="2" fontId="17" fillId="0" borderId="0" xfId="0" applyNumberFormat="1" applyFont="1" applyBorder="1" applyAlignment="1">
      <alignment horizontal="right" vertical="center"/>
    </xf>
    <xf numFmtId="0" fontId="0" fillId="0" borderId="26" xfId="0" applyBorder="1"/>
    <xf numFmtId="0" fontId="0" fillId="0" borderId="0" xfId="0" applyBorder="1" applyAlignment="1" applyProtection="1">
      <alignment vertical="center"/>
    </xf>
    <xf numFmtId="0" fontId="18" fillId="0" borderId="0" xfId="0" applyFont="1" applyBorder="1" applyAlignment="1" applyProtection="1">
      <alignment vertical="center"/>
    </xf>
    <xf numFmtId="0" fontId="52" fillId="0" borderId="0" xfId="1" applyBorder="1" applyAlignment="1" applyProtection="1">
      <alignment vertical="center"/>
    </xf>
    <xf numFmtId="0" fontId="20" fillId="0" borderId="0" xfId="0" applyFont="1" applyBorder="1" applyAlignment="1" applyProtection="1">
      <alignment vertical="center"/>
    </xf>
    <xf numFmtId="0" fontId="19" fillId="0" borderId="0" xfId="0" applyFont="1" applyBorder="1" applyAlignment="1" applyProtection="1">
      <alignment vertical="center"/>
    </xf>
    <xf numFmtId="0" fontId="21" fillId="0" borderId="0" xfId="0" applyFont="1" applyBorder="1" applyAlignment="1" applyProtection="1">
      <alignment vertical="center"/>
    </xf>
    <xf numFmtId="0" fontId="22" fillId="0" borderId="0" xfId="0" applyFont="1" applyBorder="1" applyAlignment="1" applyProtection="1">
      <alignment vertical="center"/>
    </xf>
    <xf numFmtId="0" fontId="0" fillId="0" borderId="27" xfId="0" applyBorder="1"/>
    <xf numFmtId="0" fontId="0" fillId="5" borderId="0" xfId="0" applyFill="1" applyBorder="1"/>
    <xf numFmtId="0" fontId="54" fillId="0" borderId="0" xfId="0" applyFont="1" applyAlignment="1">
      <alignment horizontal="left" vertical="center"/>
    </xf>
    <xf numFmtId="0" fontId="55" fillId="0" borderId="0" xfId="0" applyFont="1" applyAlignment="1">
      <alignment vertical="center"/>
    </xf>
    <xf numFmtId="0" fontId="55" fillId="0" borderId="7" xfId="0" applyFont="1" applyBorder="1" applyAlignment="1">
      <alignment horizontal="center" vertical="center"/>
    </xf>
    <xf numFmtId="168" fontId="17" fillId="0" borderId="0" xfId="0" applyNumberFormat="1" applyFont="1" applyBorder="1" applyAlignment="1">
      <alignment horizontal="right" vertical="center"/>
    </xf>
    <xf numFmtId="0" fontId="0" fillId="0" borderId="0" xfId="0" applyProtection="1">
      <protection locked="0"/>
    </xf>
    <xf numFmtId="0" fontId="0" fillId="5" borderId="0" xfId="0" applyFill="1" applyProtection="1">
      <protection locked="0"/>
    </xf>
    <xf numFmtId="1" fontId="10" fillId="5" borderId="0" xfId="0" applyNumberFormat="1" applyFont="1" applyFill="1" applyBorder="1" applyProtection="1">
      <protection locked="0"/>
    </xf>
    <xf numFmtId="0" fontId="10" fillId="5" borderId="0" xfId="0" applyFont="1" applyFill="1" applyBorder="1" applyProtection="1">
      <protection locked="0"/>
    </xf>
    <xf numFmtId="0" fontId="10" fillId="5" borderId="0" xfId="0" applyFont="1" applyFill="1" applyProtection="1">
      <protection locked="0"/>
    </xf>
    <xf numFmtId="0" fontId="12" fillId="5" borderId="0" xfId="0" applyFont="1" applyFill="1" applyProtection="1">
      <protection locked="0"/>
    </xf>
    <xf numFmtId="171" fontId="12" fillId="5" borderId="0" xfId="0" applyNumberFormat="1" applyFont="1" applyFill="1" applyProtection="1">
      <protection locked="0"/>
    </xf>
    <xf numFmtId="0" fontId="25" fillId="5" borderId="0" xfId="0" applyFont="1" applyFill="1" applyProtection="1">
      <protection locked="0"/>
    </xf>
    <xf numFmtId="171" fontId="25" fillId="5" borderId="0" xfId="0" applyNumberFormat="1" applyFont="1" applyFill="1" applyProtection="1">
      <protection locked="0"/>
    </xf>
    <xf numFmtId="171" fontId="44" fillId="5" borderId="0" xfId="0" applyNumberFormat="1" applyFont="1" applyFill="1" applyProtection="1">
      <protection locked="0"/>
    </xf>
    <xf numFmtId="0" fontId="19" fillId="5" borderId="0" xfId="0" applyFont="1" applyFill="1" applyProtection="1">
      <protection locked="0"/>
    </xf>
    <xf numFmtId="0" fontId="22" fillId="5" borderId="0" xfId="0" applyFont="1" applyFill="1" applyProtection="1">
      <protection locked="0"/>
    </xf>
    <xf numFmtId="0" fontId="45" fillId="5" borderId="0" xfId="0" applyFont="1" applyFill="1" applyProtection="1">
      <protection locked="0"/>
    </xf>
    <xf numFmtId="0" fontId="0" fillId="5" borderId="0" xfId="0" applyFill="1" applyBorder="1" applyProtection="1">
      <protection locked="0"/>
    </xf>
    <xf numFmtId="0" fontId="0" fillId="0" borderId="29" xfId="0" applyBorder="1" applyAlignment="1">
      <alignment horizontal="right" vertical="center"/>
    </xf>
    <xf numFmtId="0" fontId="7" fillId="6" borderId="10" xfId="0" applyFont="1" applyFill="1" applyBorder="1" applyAlignment="1" applyProtection="1">
      <alignment horizontal="center" vertical="center" wrapText="1"/>
    </xf>
    <xf numFmtId="0" fontId="10" fillId="6" borderId="14" xfId="0" applyFont="1" applyFill="1" applyBorder="1" applyAlignment="1" applyProtection="1">
      <alignment horizontal="center" vertical="center" wrapText="1"/>
    </xf>
    <xf numFmtId="0" fontId="7" fillId="6" borderId="14" xfId="0" applyFont="1" applyFill="1" applyBorder="1" applyAlignment="1" applyProtection="1">
      <alignment horizontal="center" vertical="center" wrapText="1"/>
    </xf>
    <xf numFmtId="0" fontId="13" fillId="6" borderId="14" xfId="0" applyFont="1" applyFill="1" applyBorder="1" applyAlignment="1" applyProtection="1">
      <alignment horizontal="center" vertical="center"/>
    </xf>
    <xf numFmtId="0" fontId="18" fillId="6" borderId="14" xfId="0" applyFont="1" applyFill="1" applyBorder="1" applyAlignment="1">
      <alignment horizontal="center" vertical="center" wrapText="1"/>
    </xf>
    <xf numFmtId="49" fontId="18" fillId="6" borderId="14" xfId="0" applyNumberFormat="1" applyFont="1" applyFill="1" applyBorder="1" applyAlignment="1">
      <alignment horizontal="center" vertical="center" wrapText="1"/>
    </xf>
    <xf numFmtId="0" fontId="17" fillId="6" borderId="30" xfId="0" applyFont="1" applyFill="1" applyBorder="1" applyAlignment="1">
      <alignment horizontal="center" vertical="center" wrapText="1"/>
    </xf>
    <xf numFmtId="166" fontId="3" fillId="0" borderId="4" xfId="0" applyNumberFormat="1" applyFont="1" applyFill="1" applyBorder="1" applyAlignment="1" applyProtection="1">
      <alignment horizontal="center" vertical="center"/>
    </xf>
    <xf numFmtId="171" fontId="15" fillId="0" borderId="4" xfId="0" applyNumberFormat="1" applyFont="1" applyFill="1" applyBorder="1" applyAlignment="1" applyProtection="1">
      <alignment horizontal="center" vertical="center"/>
    </xf>
    <xf numFmtId="167" fontId="3" fillId="0" borderId="4" xfId="0" applyNumberFormat="1" applyFont="1" applyFill="1" applyBorder="1" applyAlignment="1" applyProtection="1">
      <alignment horizontal="center" vertical="center"/>
    </xf>
    <xf numFmtId="171" fontId="15" fillId="2" borderId="4" xfId="0" applyNumberFormat="1" applyFont="1" applyFill="1" applyBorder="1" applyAlignment="1" applyProtection="1">
      <alignment horizontal="center" vertical="center"/>
    </xf>
    <xf numFmtId="167" fontId="3" fillId="2" borderId="4" xfId="0" applyNumberFormat="1" applyFont="1" applyFill="1" applyBorder="1" applyAlignment="1" applyProtection="1">
      <alignment horizontal="center" vertical="center"/>
    </xf>
    <xf numFmtId="1" fontId="6" fillId="4" borderId="7" xfId="0" applyNumberFormat="1" applyFont="1" applyFill="1" applyBorder="1" applyAlignment="1" applyProtection="1">
      <alignment horizontal="center"/>
      <protection locked="0"/>
    </xf>
    <xf numFmtId="1" fontId="8" fillId="4" borderId="33" xfId="0" applyNumberFormat="1" applyFont="1" applyFill="1" applyBorder="1" applyAlignment="1" applyProtection="1">
      <alignment horizontal="center"/>
      <protection locked="0"/>
    </xf>
    <xf numFmtId="171" fontId="8" fillId="4" borderId="13" xfId="0" applyNumberFormat="1" applyFont="1" applyFill="1" applyBorder="1" applyAlignment="1" applyProtection="1">
      <alignment horizontal="center"/>
      <protection locked="0"/>
    </xf>
    <xf numFmtId="1" fontId="27" fillId="4" borderId="33" xfId="0" applyNumberFormat="1" applyFont="1" applyFill="1" applyBorder="1" applyAlignment="1" applyProtection="1">
      <alignment horizontal="center"/>
      <protection locked="0"/>
    </xf>
    <xf numFmtId="171" fontId="27" fillId="4" borderId="13" xfId="0" applyNumberFormat="1" applyFont="1" applyFill="1" applyBorder="1" applyAlignment="1" applyProtection="1">
      <alignment horizontal="center"/>
      <protection locked="0"/>
    </xf>
    <xf numFmtId="2" fontId="9" fillId="4" borderId="34" xfId="0" applyNumberFormat="1" applyFont="1" applyFill="1" applyBorder="1" applyAlignment="1" applyProtection="1">
      <alignment horizontal="center"/>
      <protection locked="0"/>
    </xf>
    <xf numFmtId="1" fontId="11" fillId="4" borderId="28" xfId="0" applyNumberFormat="1" applyFont="1" applyFill="1" applyBorder="1" applyAlignment="1" applyProtection="1">
      <alignment horizontal="center"/>
      <protection locked="0"/>
    </xf>
    <xf numFmtId="1" fontId="23" fillId="4" borderId="33" xfId="0" applyNumberFormat="1" applyFont="1" applyFill="1" applyBorder="1" applyAlignment="1" applyProtection="1">
      <alignment horizontal="center"/>
      <protection locked="0"/>
    </xf>
    <xf numFmtId="171" fontId="9" fillId="4" borderId="33" xfId="0" applyNumberFormat="1" applyFont="1" applyFill="1" applyBorder="1" applyAlignment="1" applyProtection="1">
      <alignment horizontal="center"/>
      <protection locked="0"/>
    </xf>
    <xf numFmtId="171" fontId="11" fillId="4" borderId="13" xfId="0" applyNumberFormat="1" applyFont="1" applyFill="1" applyBorder="1" applyAlignment="1" applyProtection="1">
      <alignment horizontal="center"/>
      <protection locked="0"/>
    </xf>
    <xf numFmtId="171" fontId="6" fillId="4" borderId="7" xfId="0" applyNumberFormat="1" applyFont="1" applyFill="1" applyBorder="1" applyAlignment="1" applyProtection="1">
      <alignment horizontal="center"/>
      <protection locked="0"/>
    </xf>
    <xf numFmtId="1" fontId="6" fillId="4" borderId="13" xfId="0" applyNumberFormat="1" applyFont="1" applyFill="1" applyBorder="1" applyAlignment="1" applyProtection="1">
      <alignment horizontal="center" vertical="center"/>
      <protection locked="0"/>
    </xf>
    <xf numFmtId="0" fontId="17" fillId="4" borderId="35" xfId="0" applyFont="1" applyFill="1" applyBorder="1" applyAlignment="1" applyProtection="1">
      <alignment vertical="center"/>
      <protection locked="0"/>
    </xf>
    <xf numFmtId="2" fontId="30" fillId="4" borderId="35" xfId="0" applyNumberFormat="1" applyFont="1" applyFill="1" applyBorder="1" applyAlignment="1" applyProtection="1">
      <alignment vertical="center"/>
    </xf>
    <xf numFmtId="2" fontId="30" fillId="4" borderId="35" xfId="0" applyNumberFormat="1" applyFont="1" applyFill="1" applyBorder="1" applyAlignment="1" applyProtection="1">
      <alignment horizontal="right" vertical="center"/>
    </xf>
    <xf numFmtId="2" fontId="29" fillId="4" borderId="35" xfId="0" applyNumberFormat="1" applyFont="1" applyFill="1" applyBorder="1" applyAlignment="1" applyProtection="1">
      <alignment vertical="center"/>
      <protection locked="0"/>
    </xf>
    <xf numFmtId="0" fontId="17" fillId="4" borderId="35" xfId="0" applyFont="1" applyFill="1" applyBorder="1" applyAlignment="1" applyProtection="1">
      <alignment horizontal="right" vertical="center"/>
      <protection locked="0"/>
    </xf>
    <xf numFmtId="2" fontId="29" fillId="4" borderId="35" xfId="0" applyNumberFormat="1" applyFont="1" applyFill="1" applyBorder="1" applyAlignment="1" applyProtection="1">
      <alignment vertical="center"/>
    </xf>
    <xf numFmtId="9" fontId="29" fillId="4" borderId="35" xfId="0" applyNumberFormat="1" applyFont="1" applyFill="1" applyBorder="1" applyAlignment="1" applyProtection="1">
      <alignment vertical="center"/>
      <protection locked="0"/>
    </xf>
    <xf numFmtId="0" fontId="51" fillId="4" borderId="34" xfId="0" applyFont="1" applyFill="1" applyBorder="1" applyAlignment="1" applyProtection="1">
      <alignment horizontal="center"/>
      <protection locked="0"/>
    </xf>
    <xf numFmtId="0" fontId="17" fillId="4" borderId="34" xfId="0" applyFont="1" applyFill="1" applyBorder="1" applyAlignment="1" applyProtection="1">
      <alignment horizontal="right" vertical="center"/>
      <protection locked="0"/>
    </xf>
    <xf numFmtId="9" fontId="17" fillId="0" borderId="0" xfId="2" applyFont="1" applyBorder="1"/>
    <xf numFmtId="9" fontId="17" fillId="0" borderId="7" xfId="2" applyFont="1" applyBorder="1" applyAlignment="1">
      <alignment horizontal="right" vertical="center"/>
    </xf>
    <xf numFmtId="9" fontId="17" fillId="0" borderId="13" xfId="2" applyFont="1" applyBorder="1" applyAlignment="1">
      <alignment vertical="center"/>
    </xf>
    <xf numFmtId="9" fontId="17" fillId="0" borderId="7" xfId="2" applyFont="1" applyBorder="1" applyAlignment="1">
      <alignment vertical="center"/>
    </xf>
    <xf numFmtId="1" fontId="17" fillId="0" borderId="0" xfId="2" applyNumberFormat="1" applyFont="1" applyBorder="1" applyAlignment="1">
      <alignment vertical="center"/>
    </xf>
    <xf numFmtId="164" fontId="17" fillId="0" borderId="0" xfId="0" applyNumberFormat="1" applyFont="1" applyBorder="1" applyAlignment="1">
      <alignment horizontal="right" vertical="center"/>
    </xf>
    <xf numFmtId="0" fontId="9" fillId="0" borderId="0" xfId="0" applyFont="1" applyAlignment="1" applyProtection="1">
      <alignment vertical="center"/>
    </xf>
    <xf numFmtId="9" fontId="17" fillId="0" borderId="0" xfId="2" applyFont="1"/>
    <xf numFmtId="0" fontId="17" fillId="0" borderId="0" xfId="0" applyFont="1" applyFill="1" applyBorder="1" applyAlignment="1">
      <alignment horizontal="left" vertical="center"/>
    </xf>
    <xf numFmtId="0" fontId="17" fillId="6" borderId="14" xfId="0" applyFont="1" applyFill="1" applyBorder="1" applyAlignment="1">
      <alignment horizontal="center" vertical="center" wrapText="1"/>
    </xf>
    <xf numFmtId="0" fontId="59" fillId="0" borderId="0" xfId="0" applyFont="1" applyProtection="1"/>
    <xf numFmtId="0" fontId="60" fillId="0" borderId="0" xfId="0" applyFont="1" applyProtection="1"/>
    <xf numFmtId="0" fontId="62" fillId="0" borderId="0" xfId="0" applyFont="1" applyProtection="1"/>
    <xf numFmtId="0" fontId="56" fillId="0" borderId="7" xfId="0" applyFont="1" applyBorder="1" applyAlignment="1">
      <alignment horizontal="center" vertical="center"/>
    </xf>
    <xf numFmtId="171" fontId="25" fillId="5" borderId="31" xfId="0" applyNumberFormat="1" applyFont="1" applyFill="1" applyBorder="1" applyProtection="1"/>
    <xf numFmtId="171" fontId="15" fillId="2" borderId="9" xfId="0" applyNumberFormat="1" applyFont="1" applyFill="1" applyBorder="1" applyAlignment="1" applyProtection="1">
      <alignment horizontal="center" vertical="center"/>
    </xf>
    <xf numFmtId="167" fontId="3" fillId="2" borderId="9" xfId="0" applyNumberFormat="1" applyFont="1" applyFill="1" applyBorder="1" applyAlignment="1" applyProtection="1">
      <alignment horizontal="center" vertical="center"/>
    </xf>
    <xf numFmtId="1" fontId="61" fillId="4" borderId="33" xfId="0" applyNumberFormat="1" applyFont="1" applyFill="1" applyBorder="1" applyAlignment="1" applyProtection="1">
      <alignment horizontal="center"/>
      <protection locked="0"/>
    </xf>
    <xf numFmtId="171" fontId="61" fillId="4" borderId="13" xfId="0" applyNumberFormat="1" applyFont="1" applyFill="1" applyBorder="1" applyAlignment="1" applyProtection="1">
      <alignment horizontal="center"/>
      <protection locked="0"/>
    </xf>
    <xf numFmtId="1" fontId="6" fillId="4" borderId="33" xfId="0" applyNumberFormat="1" applyFont="1" applyFill="1" applyBorder="1" applyAlignment="1" applyProtection="1">
      <alignment horizontal="center"/>
      <protection locked="0"/>
    </xf>
    <xf numFmtId="171" fontId="6" fillId="4" borderId="13" xfId="0" applyNumberFormat="1" applyFont="1" applyFill="1" applyBorder="1" applyAlignment="1" applyProtection="1">
      <alignment horizontal="center"/>
      <protection locked="0"/>
    </xf>
    <xf numFmtId="0" fontId="42" fillId="0" borderId="0" xfId="0" applyFont="1" applyAlignment="1">
      <alignment horizontal="left" vertical="center"/>
    </xf>
    <xf numFmtId="0" fontId="3" fillId="2" borderId="1" xfId="0" applyFont="1" applyFill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171" fontId="25" fillId="5" borderId="32" xfId="0" applyNumberFormat="1" applyFont="1" applyFill="1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0" fontId="26" fillId="0" borderId="4" xfId="0" applyFont="1" applyFill="1" applyBorder="1" applyAlignment="1" applyProtection="1">
      <alignment horizontal="center" vertical="center"/>
    </xf>
    <xf numFmtId="0" fontId="0" fillId="0" borderId="4" xfId="0" applyFill="1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0" fillId="0" borderId="4" xfId="0" applyBorder="1" applyAlignment="1">
      <alignment vertical="center"/>
    </xf>
    <xf numFmtId="0" fontId="0" fillId="2" borderId="2" xfId="0" applyFill="1" applyBorder="1" applyAlignment="1">
      <alignment vertical="center"/>
    </xf>
    <xf numFmtId="1" fontId="13" fillId="2" borderId="1" xfId="0" applyNumberFormat="1" applyFont="1" applyFill="1" applyBorder="1" applyAlignment="1" applyProtection="1">
      <alignment horizontal="center" vertical="center"/>
    </xf>
    <xf numFmtId="172" fontId="3" fillId="0" borderId="4" xfId="0" applyNumberFormat="1" applyFont="1" applyFill="1" applyBorder="1" applyAlignment="1" applyProtection="1">
      <alignment horizontal="center" vertical="center"/>
    </xf>
    <xf numFmtId="172" fontId="3" fillId="3" borderId="4" xfId="0" applyNumberFormat="1" applyFont="1" applyFill="1" applyBorder="1" applyAlignment="1" applyProtection="1">
      <alignment horizontal="center" vertical="center"/>
    </xf>
    <xf numFmtId="172" fontId="3" fillId="0" borderId="4" xfId="0" applyNumberFormat="1" applyFont="1" applyBorder="1" applyAlignment="1" applyProtection="1">
      <alignment horizontal="center" vertical="center"/>
    </xf>
    <xf numFmtId="2" fontId="3" fillId="3" borderId="4" xfId="0" applyNumberFormat="1" applyFont="1" applyFill="1" applyBorder="1" applyAlignment="1" applyProtection="1">
      <alignment horizontal="center" vertical="center"/>
    </xf>
    <xf numFmtId="2" fontId="3" fillId="0" borderId="4" xfId="0" applyNumberFormat="1" applyFont="1" applyBorder="1" applyAlignment="1" applyProtection="1">
      <alignment horizontal="center" vertical="center"/>
    </xf>
    <xf numFmtId="168" fontId="0" fillId="0" borderId="4" xfId="0" applyNumberFormat="1" applyBorder="1" applyAlignment="1" applyProtection="1">
      <alignment vertical="center"/>
    </xf>
    <xf numFmtId="168" fontId="32" fillId="4" borderId="4" xfId="0" applyNumberFormat="1" applyFont="1" applyFill="1" applyBorder="1" applyAlignment="1" applyProtection="1">
      <alignment vertical="center"/>
    </xf>
    <xf numFmtId="9" fontId="1" fillId="3" borderId="4" xfId="0" applyNumberFormat="1" applyFont="1" applyFill="1" applyBorder="1" applyAlignment="1" applyProtection="1">
      <alignment horizontal="right" vertical="center"/>
    </xf>
    <xf numFmtId="9" fontId="0" fillId="0" borderId="4" xfId="0" applyNumberFormat="1" applyBorder="1" applyAlignment="1" applyProtection="1">
      <alignment vertical="center"/>
    </xf>
    <xf numFmtId="172" fontId="0" fillId="3" borderId="4" xfId="0" applyNumberFormat="1" applyFill="1" applyBorder="1" applyAlignment="1" applyProtection="1">
      <alignment vertical="center"/>
    </xf>
    <xf numFmtId="9" fontId="0" fillId="3" borderId="4" xfId="0" applyNumberFormat="1" applyFill="1" applyBorder="1" applyAlignment="1" applyProtection="1">
      <alignment vertical="center"/>
    </xf>
    <xf numFmtId="169" fontId="0" fillId="0" borderId="4" xfId="0" applyNumberFormat="1" applyBorder="1" applyAlignment="1">
      <alignment vertical="center"/>
    </xf>
    <xf numFmtId="170" fontId="31" fillId="4" borderId="4" xfId="0" applyNumberFormat="1" applyFont="1" applyFill="1" applyBorder="1" applyAlignment="1">
      <alignment vertical="center"/>
    </xf>
    <xf numFmtId="9" fontId="0" fillId="0" borderId="4" xfId="0" applyNumberFormat="1" applyBorder="1" applyAlignment="1">
      <alignment horizontal="right" vertical="center"/>
    </xf>
    <xf numFmtId="171" fontId="32" fillId="4" borderId="4" xfId="0" applyNumberFormat="1" applyFont="1" applyFill="1" applyBorder="1" applyAlignment="1">
      <alignment vertical="center"/>
    </xf>
    <xf numFmtId="1" fontId="0" fillId="0" borderId="4" xfId="0" applyNumberFormat="1" applyBorder="1" applyAlignment="1">
      <alignment horizontal="right" vertical="center"/>
    </xf>
    <xf numFmtId="1" fontId="13" fillId="2" borderId="2" xfId="0" applyNumberFormat="1" applyFont="1" applyFill="1" applyBorder="1" applyAlignment="1" applyProtection="1">
      <alignment horizontal="center" vertical="center"/>
    </xf>
    <xf numFmtId="172" fontId="3" fillId="2" borderId="4" xfId="0" applyNumberFormat="1" applyFont="1" applyFill="1" applyBorder="1" applyAlignment="1" applyProtection="1">
      <alignment horizontal="center" vertical="center"/>
    </xf>
    <xf numFmtId="2" fontId="3" fillId="5" borderId="32" xfId="0" applyNumberFormat="1" applyFont="1" applyFill="1" applyBorder="1" applyAlignment="1" applyProtection="1">
      <alignment horizontal="center" vertical="center"/>
    </xf>
    <xf numFmtId="2" fontId="3" fillId="2" borderId="4" xfId="0" applyNumberFormat="1" applyFont="1" applyFill="1" applyBorder="1" applyAlignment="1" applyProtection="1">
      <alignment horizontal="center" vertical="center"/>
    </xf>
    <xf numFmtId="0" fontId="0" fillId="5" borderId="32" xfId="0" applyFill="1" applyBorder="1" applyAlignment="1" applyProtection="1">
      <alignment vertical="center"/>
    </xf>
    <xf numFmtId="168" fontId="0" fillId="2" borderId="4" xfId="0" applyNumberFormat="1" applyFill="1" applyBorder="1" applyAlignment="1" applyProtection="1">
      <alignment vertical="center"/>
    </xf>
    <xf numFmtId="168" fontId="32" fillId="2" borderId="4" xfId="0" applyNumberFormat="1" applyFont="1" applyFill="1" applyBorder="1" applyAlignment="1" applyProtection="1">
      <alignment vertical="center"/>
    </xf>
    <xf numFmtId="9" fontId="1" fillId="2" borderId="4" xfId="0" applyNumberFormat="1" applyFont="1" applyFill="1" applyBorder="1" applyAlignment="1" applyProtection="1">
      <alignment horizontal="right" vertical="center"/>
    </xf>
    <xf numFmtId="0" fontId="0" fillId="2" borderId="4" xfId="0" applyFill="1" applyBorder="1" applyAlignment="1" applyProtection="1">
      <alignment vertical="center"/>
    </xf>
    <xf numFmtId="9" fontId="0" fillId="2" borderId="4" xfId="0" applyNumberFormat="1" applyFill="1" applyBorder="1" applyAlignment="1" applyProtection="1">
      <alignment vertical="center"/>
    </xf>
    <xf numFmtId="172" fontId="0" fillId="2" borderId="4" xfId="0" applyNumberFormat="1" applyFill="1" applyBorder="1" applyAlignment="1" applyProtection="1">
      <alignment vertical="center"/>
    </xf>
    <xf numFmtId="0" fontId="0" fillId="5" borderId="32" xfId="0" applyFill="1" applyBorder="1" applyAlignment="1">
      <alignment vertical="center"/>
    </xf>
    <xf numFmtId="169" fontId="0" fillId="2" borderId="4" xfId="0" applyNumberFormat="1" applyFill="1" applyBorder="1" applyAlignment="1">
      <alignment vertical="center"/>
    </xf>
    <xf numFmtId="170" fontId="31" fillId="2" borderId="4" xfId="0" applyNumberFormat="1" applyFont="1" applyFill="1" applyBorder="1" applyAlignment="1">
      <alignment vertical="center"/>
    </xf>
    <xf numFmtId="9" fontId="0" fillId="2" borderId="4" xfId="0" applyNumberFormat="1" applyFill="1" applyBorder="1" applyAlignment="1">
      <alignment horizontal="right" vertical="center"/>
    </xf>
    <xf numFmtId="9" fontId="0" fillId="5" borderId="32" xfId="0" applyNumberFormat="1" applyFill="1" applyBorder="1" applyAlignment="1">
      <alignment vertical="center"/>
    </xf>
    <xf numFmtId="171" fontId="32" fillId="2" borderId="4" xfId="0" applyNumberFormat="1" applyFont="1" applyFill="1" applyBorder="1" applyAlignment="1">
      <alignment vertical="center"/>
    </xf>
    <xf numFmtId="1" fontId="0" fillId="2" borderId="4" xfId="0" applyNumberFormat="1" applyFill="1" applyBorder="1" applyAlignment="1">
      <alignment horizontal="right" vertical="center"/>
    </xf>
    <xf numFmtId="0" fontId="4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1" fontId="13" fillId="2" borderId="5" xfId="0" applyNumberFormat="1" applyFont="1" applyFill="1" applyBorder="1" applyAlignment="1" applyProtection="1">
      <alignment horizontal="center" vertical="center"/>
    </xf>
    <xf numFmtId="172" fontId="3" fillId="2" borderId="9" xfId="0" applyNumberFormat="1" applyFont="1" applyFill="1" applyBorder="1" applyAlignment="1" applyProtection="1">
      <alignment horizontal="center" vertical="center"/>
    </xf>
    <xf numFmtId="2" fontId="3" fillId="5" borderId="19" xfId="0" applyNumberFormat="1" applyFont="1" applyFill="1" applyBorder="1" applyAlignment="1" applyProtection="1">
      <alignment horizontal="center" vertical="center"/>
    </xf>
    <xf numFmtId="2" fontId="3" fillId="2" borderId="9" xfId="0" applyNumberFormat="1" applyFont="1" applyFill="1" applyBorder="1" applyAlignment="1" applyProtection="1">
      <alignment horizontal="center" vertical="center"/>
    </xf>
    <xf numFmtId="0" fontId="0" fillId="5" borderId="19" xfId="0" applyFill="1" applyBorder="1" applyAlignment="1" applyProtection="1">
      <alignment vertical="center"/>
    </xf>
    <xf numFmtId="168" fontId="0" fillId="2" borderId="9" xfId="0" applyNumberFormat="1" applyFill="1" applyBorder="1" applyAlignment="1" applyProtection="1">
      <alignment vertical="center"/>
    </xf>
    <xf numFmtId="168" fontId="32" fillId="2" borderId="9" xfId="0" applyNumberFormat="1" applyFont="1" applyFill="1" applyBorder="1" applyAlignment="1" applyProtection="1">
      <alignment vertical="center"/>
    </xf>
    <xf numFmtId="9" fontId="1" fillId="2" borderId="9" xfId="0" applyNumberFormat="1" applyFont="1" applyFill="1" applyBorder="1" applyAlignment="1" applyProtection="1">
      <alignment horizontal="right" vertical="center"/>
    </xf>
    <xf numFmtId="0" fontId="0" fillId="2" borderId="9" xfId="0" applyFill="1" applyBorder="1" applyAlignment="1" applyProtection="1">
      <alignment vertical="center"/>
    </xf>
    <xf numFmtId="9" fontId="0" fillId="2" borderId="9" xfId="0" applyNumberFormat="1" applyFill="1" applyBorder="1" applyAlignment="1" applyProtection="1">
      <alignment vertical="center"/>
    </xf>
    <xf numFmtId="172" fontId="0" fillId="2" borderId="9" xfId="0" applyNumberFormat="1" applyFill="1" applyBorder="1" applyAlignment="1" applyProtection="1">
      <alignment vertical="center"/>
    </xf>
    <xf numFmtId="0" fontId="0" fillId="5" borderId="19" xfId="0" applyFill="1" applyBorder="1" applyAlignment="1">
      <alignment vertical="center"/>
    </xf>
    <xf numFmtId="169" fontId="0" fillId="2" borderId="9" xfId="0" applyNumberFormat="1" applyFill="1" applyBorder="1" applyAlignment="1">
      <alignment vertical="center"/>
    </xf>
    <xf numFmtId="170" fontId="31" fillId="2" borderId="9" xfId="0" applyNumberFormat="1" applyFont="1" applyFill="1" applyBorder="1" applyAlignment="1">
      <alignment vertical="center"/>
    </xf>
    <xf numFmtId="9" fontId="0" fillId="2" borderId="9" xfId="0" applyNumberFormat="1" applyFill="1" applyBorder="1" applyAlignment="1">
      <alignment horizontal="right" vertical="center"/>
    </xf>
    <xf numFmtId="9" fontId="0" fillId="5" borderId="19" xfId="0" applyNumberFormat="1" applyFill="1" applyBorder="1" applyAlignment="1">
      <alignment vertical="center"/>
    </xf>
    <xf numFmtId="171" fontId="32" fillId="2" borderId="9" xfId="0" applyNumberFormat="1" applyFont="1" applyFill="1" applyBorder="1" applyAlignment="1">
      <alignment vertical="center"/>
    </xf>
    <xf numFmtId="1" fontId="0" fillId="2" borderId="9" xfId="0" applyNumberFormat="1" applyFill="1" applyBorder="1" applyAlignment="1">
      <alignment horizontal="right" vertical="center"/>
    </xf>
    <xf numFmtId="1" fontId="13" fillId="2" borderId="6" xfId="0" applyNumberFormat="1" applyFont="1" applyFill="1" applyBorder="1" applyAlignment="1" applyProtection="1">
      <alignment horizontal="center" vertical="center"/>
    </xf>
    <xf numFmtId="10" fontId="0" fillId="0" borderId="4" xfId="2" applyNumberFormat="1" applyFont="1" applyBorder="1" applyAlignment="1" applyProtection="1">
      <alignment vertical="center"/>
    </xf>
    <xf numFmtId="10" fontId="0" fillId="2" borderId="4" xfId="2" applyNumberFormat="1" applyFont="1" applyFill="1" applyBorder="1" applyAlignment="1" applyProtection="1">
      <alignment vertical="center"/>
    </xf>
    <xf numFmtId="10" fontId="0" fillId="2" borderId="9" xfId="2" applyNumberFormat="1" applyFont="1" applyFill="1" applyBorder="1" applyAlignment="1" applyProtection="1">
      <alignment vertical="center"/>
    </xf>
    <xf numFmtId="1" fontId="17" fillId="0" borderId="7" xfId="2" applyNumberFormat="1" applyFont="1" applyBorder="1" applyProtection="1">
      <protection locked="0"/>
    </xf>
    <xf numFmtId="0" fontId="0" fillId="7" borderId="0" xfId="0" applyNumberFormat="1" applyFill="1"/>
    <xf numFmtId="0" fontId="0" fillId="7" borderId="0" xfId="0" applyNumberFormat="1" applyFill="1" applyAlignment="1">
      <alignment horizontal="right"/>
    </xf>
    <xf numFmtId="0" fontId="0" fillId="7" borderId="0" xfId="0" applyFill="1"/>
    <xf numFmtId="0" fontId="0" fillId="7" borderId="0" xfId="0" applyFill="1" applyAlignment="1">
      <alignment horizontal="right"/>
    </xf>
    <xf numFmtId="0" fontId="32" fillId="7" borderId="3" xfId="0" applyFont="1" applyFill="1" applyBorder="1" applyAlignment="1">
      <alignment horizontal="center" vertical="center"/>
    </xf>
    <xf numFmtId="0" fontId="32" fillId="7" borderId="1" xfId="0" applyFont="1" applyFill="1" applyBorder="1" applyAlignment="1">
      <alignment horizontal="left" vertical="center" indent="1"/>
    </xf>
    <xf numFmtId="169" fontId="32" fillId="7" borderId="4" xfId="0" applyNumberFormat="1" applyFont="1" applyFill="1" applyBorder="1" applyAlignment="1">
      <alignment horizontal="right" vertical="center"/>
    </xf>
    <xf numFmtId="0" fontId="0" fillId="7" borderId="11" xfId="0" applyFill="1" applyBorder="1"/>
    <xf numFmtId="168" fontId="9" fillId="4" borderId="34" xfId="0" applyNumberFormat="1" applyFont="1" applyFill="1" applyBorder="1" applyAlignment="1" applyProtection="1">
      <alignment horizontal="center"/>
      <protection locked="0"/>
    </xf>
    <xf numFmtId="0" fontId="63" fillId="0" borderId="22" xfId="0" applyFont="1" applyFill="1" applyBorder="1" applyAlignment="1">
      <alignment horizontal="center" vertical="center"/>
    </xf>
    <xf numFmtId="0" fontId="63" fillId="0" borderId="23" xfId="0" applyFont="1" applyBorder="1" applyAlignment="1">
      <alignment horizontal="left" vertical="center" indent="1"/>
    </xf>
    <xf numFmtId="169" fontId="63" fillId="0" borderId="24" xfId="0" applyNumberFormat="1" applyFont="1" applyBorder="1" applyAlignment="1">
      <alignment horizontal="right" vertical="center"/>
    </xf>
    <xf numFmtId="0" fontId="32" fillId="7" borderId="16" xfId="0" applyFont="1" applyFill="1" applyBorder="1" applyAlignment="1">
      <alignment horizontal="center" vertical="center"/>
    </xf>
    <xf numFmtId="0" fontId="32" fillId="7" borderId="10" xfId="0" applyFont="1" applyFill="1" applyBorder="1" applyAlignment="1">
      <alignment horizontal="left" vertical="center" indent="1"/>
    </xf>
    <xf numFmtId="169" fontId="32" fillId="7" borderId="14" xfId="0" applyNumberFormat="1" applyFont="1" applyFill="1" applyBorder="1" applyAlignment="1">
      <alignment horizontal="right" vertical="center"/>
    </xf>
    <xf numFmtId="0" fontId="0" fillId="7" borderId="15" xfId="0" applyFill="1" applyBorder="1"/>
    <xf numFmtId="169" fontId="11" fillId="4" borderId="7" xfId="0" applyNumberFormat="1" applyFont="1" applyFill="1" applyBorder="1" applyAlignment="1" applyProtection="1">
      <alignment horizontal="center"/>
      <protection locked="0"/>
    </xf>
    <xf numFmtId="169" fontId="23" fillId="4" borderId="13" xfId="0" applyNumberFormat="1" applyFont="1" applyFill="1" applyBorder="1" applyAlignment="1" applyProtection="1">
      <alignment horizontal="center"/>
      <protection locked="0"/>
    </xf>
    <xf numFmtId="0" fontId="32" fillId="7" borderId="22" xfId="0" applyFont="1" applyFill="1" applyBorder="1" applyAlignment="1">
      <alignment horizontal="center" vertical="center"/>
    </xf>
    <xf numFmtId="0" fontId="32" fillId="7" borderId="23" xfId="0" applyFont="1" applyFill="1" applyBorder="1" applyAlignment="1">
      <alignment horizontal="left" vertical="center" indent="1"/>
    </xf>
    <xf numFmtId="169" fontId="32" fillId="7" borderId="24" xfId="0" applyNumberFormat="1" applyFont="1" applyFill="1" applyBorder="1" applyAlignment="1">
      <alignment horizontal="right" vertical="center"/>
    </xf>
    <xf numFmtId="0" fontId="0" fillId="7" borderId="25" xfId="0" applyFill="1" applyBorder="1"/>
    <xf numFmtId="169" fontId="32" fillId="7" borderId="8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/>
    </xf>
    <xf numFmtId="0" fontId="65" fillId="7" borderId="0" xfId="0" applyFont="1" applyFill="1" applyAlignment="1">
      <alignment horizontal="center"/>
    </xf>
    <xf numFmtId="14" fontId="37" fillId="0" borderId="0" xfId="0" applyNumberFormat="1" applyFont="1" applyAlignment="1">
      <alignment horizontal="center"/>
    </xf>
    <xf numFmtId="0" fontId="66" fillId="0" borderId="0" xfId="0" applyFont="1"/>
    <xf numFmtId="0" fontId="64" fillId="9" borderId="40" xfId="0" applyFont="1" applyFill="1" applyBorder="1" applyAlignment="1">
      <alignment horizontal="center" vertical="center"/>
    </xf>
    <xf numFmtId="0" fontId="64" fillId="9" borderId="39" xfId="0" applyFont="1" applyFill="1" applyBorder="1" applyAlignment="1">
      <alignment horizontal="center" vertical="center"/>
    </xf>
    <xf numFmtId="0" fontId="64" fillId="9" borderId="41" xfId="0" applyFont="1" applyFill="1" applyBorder="1" applyAlignment="1">
      <alignment horizontal="center" vertical="center"/>
    </xf>
    <xf numFmtId="0" fontId="66" fillId="9" borderId="1" xfId="0" applyFont="1" applyFill="1" applyBorder="1" applyAlignment="1">
      <alignment horizontal="center" vertical="center"/>
    </xf>
    <xf numFmtId="0" fontId="66" fillId="9" borderId="5" xfId="0" applyFont="1" applyFill="1" applyBorder="1" applyAlignment="1">
      <alignment horizontal="center" vertical="center"/>
    </xf>
    <xf numFmtId="0" fontId="17" fillId="8" borderId="4" xfId="0" applyFont="1" applyFill="1" applyBorder="1" applyAlignment="1">
      <alignment horizontal="center" vertical="center"/>
    </xf>
    <xf numFmtId="0" fontId="17" fillId="8" borderId="2" xfId="0" applyFont="1" applyFill="1" applyBorder="1" applyAlignment="1">
      <alignment horizontal="center" vertical="center"/>
    </xf>
    <xf numFmtId="0" fontId="17" fillId="8" borderId="9" xfId="0" applyFont="1" applyFill="1" applyBorder="1" applyAlignment="1">
      <alignment horizontal="center" vertical="center"/>
    </xf>
    <xf numFmtId="0" fontId="17" fillId="8" borderId="6" xfId="0" applyFont="1" applyFill="1" applyBorder="1" applyAlignment="1">
      <alignment horizontal="center" vertical="center"/>
    </xf>
    <xf numFmtId="168" fontId="17" fillId="8" borderId="4" xfId="0" applyNumberFormat="1" applyFont="1" applyFill="1" applyBorder="1" applyAlignment="1">
      <alignment horizontal="center" vertical="center"/>
    </xf>
    <xf numFmtId="0" fontId="13" fillId="6" borderId="15" xfId="0" applyFont="1" applyFill="1" applyBorder="1" applyAlignment="1" applyProtection="1">
      <alignment horizontal="center" vertical="center" wrapText="1"/>
    </xf>
    <xf numFmtId="0" fontId="13" fillId="6" borderId="38" xfId="0" applyFont="1" applyFill="1" applyBorder="1" applyAlignment="1" applyProtection="1">
      <alignment horizontal="center" vertical="center" wrapText="1"/>
    </xf>
    <xf numFmtId="0" fontId="40" fillId="6" borderId="15" xfId="0" applyFont="1" applyFill="1" applyBorder="1" applyAlignment="1" applyProtection="1">
      <alignment horizontal="center" vertical="center" wrapText="1"/>
    </xf>
    <xf numFmtId="0" fontId="40" fillId="6" borderId="38" xfId="0" applyFont="1" applyFill="1" applyBorder="1" applyAlignment="1" applyProtection="1">
      <alignment horizontal="center" vertical="center" wrapText="1"/>
    </xf>
    <xf numFmtId="0" fontId="17" fillId="6" borderId="15" xfId="0" applyFont="1" applyFill="1" applyBorder="1" applyAlignment="1">
      <alignment horizontal="center" vertical="center" wrapText="1"/>
    </xf>
    <xf numFmtId="0" fontId="17" fillId="6" borderId="38" xfId="0" applyFont="1" applyFill="1" applyBorder="1" applyAlignment="1">
      <alignment horizontal="center" vertical="center" wrapText="1"/>
    </xf>
    <xf numFmtId="0" fontId="17" fillId="6" borderId="36" xfId="0" applyFont="1" applyFill="1" applyBorder="1" applyAlignment="1">
      <alignment horizontal="center"/>
    </xf>
    <xf numFmtId="0" fontId="17" fillId="6" borderId="37" xfId="0" applyFont="1" applyFill="1" applyBorder="1" applyAlignment="1">
      <alignment horizontal="center"/>
    </xf>
    <xf numFmtId="0" fontId="0" fillId="6" borderId="36" xfId="0" applyFill="1" applyBorder="1" applyAlignment="1">
      <alignment horizontal="center"/>
    </xf>
    <xf numFmtId="0" fontId="17" fillId="6" borderId="36" xfId="0" applyFont="1" applyFill="1" applyBorder="1" applyAlignment="1">
      <alignment horizontal="center" vertical="center"/>
    </xf>
    <xf numFmtId="0" fontId="55" fillId="0" borderId="28" xfId="0" applyFont="1" applyBorder="1" applyAlignment="1">
      <alignment horizontal="center" vertical="center"/>
    </xf>
    <xf numFmtId="0" fontId="55" fillId="0" borderId="12" xfId="0" applyFont="1" applyBorder="1" applyAlignment="1">
      <alignment horizontal="center" vertical="center"/>
    </xf>
    <xf numFmtId="0" fontId="55" fillId="0" borderId="13" xfId="0" applyFont="1" applyBorder="1" applyAlignment="1">
      <alignment horizontal="center" vertical="center"/>
    </xf>
    <xf numFmtId="0" fontId="0" fillId="7" borderId="0" xfId="0" applyFill="1" applyAlignment="1">
      <alignment horizontal="center"/>
    </xf>
    <xf numFmtId="0" fontId="66" fillId="10" borderId="42" xfId="0" applyFont="1" applyFill="1" applyBorder="1" applyAlignment="1">
      <alignment horizontal="center" vertical="center"/>
    </xf>
    <xf numFmtId="0" fontId="66" fillId="10" borderId="43" xfId="0" applyFont="1" applyFill="1" applyBorder="1" applyAlignment="1">
      <alignment horizontal="center" vertical="center"/>
    </xf>
    <xf numFmtId="0" fontId="66" fillId="10" borderId="16" xfId="0" applyFont="1" applyFill="1" applyBorder="1" applyAlignment="1">
      <alignment horizontal="center" vertical="center"/>
    </xf>
    <xf numFmtId="0" fontId="66" fillId="10" borderId="44" xfId="0" applyFont="1" applyFill="1" applyBorder="1" applyAlignment="1">
      <alignment horizontal="center" vertical="center"/>
    </xf>
    <xf numFmtId="0" fontId="66" fillId="10" borderId="45" xfId="0" applyFont="1" applyFill="1" applyBorder="1" applyAlignment="1">
      <alignment horizontal="center" vertical="center"/>
    </xf>
    <xf numFmtId="0" fontId="66" fillId="10" borderId="3" xfId="0" applyFont="1" applyFill="1" applyBorder="1" applyAlignment="1">
      <alignment horizontal="center" vertical="center"/>
    </xf>
  </cellXfs>
  <cellStyles count="3">
    <cellStyle name="Гиперссылка" xfId="1" builtinId="8"/>
    <cellStyle name="Обычный" xfId="0" builtinId="0"/>
    <cellStyle name="Процентный" xfId="2" builtinId="5"/>
  </cellStyles>
  <dxfs count="104"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Cyr"/>
        <scheme val="none"/>
      </font>
      <numFmt numFmtId="169" formatCode="0.00_ ;[Red]\-0.00\ 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Cyr"/>
        <scheme val="none"/>
      </font>
      <numFmt numFmtId="169" formatCode="0.00_ ;[Red]\-0.00\ 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Cyr"/>
        <scheme val="none"/>
      </font>
      <alignment horizontal="left" vertical="center" textRotation="0" wrapText="0" indent="1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Cyr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</dxfs>
  <tableStyles count="0" defaultTableStyle="TableStyleMedium2" defaultPivotStyle="PivotStyleLight16"/>
  <colors>
    <mruColors>
      <color rgb="FF63BE7B"/>
      <color rgb="FFF8696B"/>
      <color rgb="FFFF7C80"/>
      <color rgb="FFFF5050"/>
      <color rgb="FFFF6633"/>
      <color rgb="FFC6EFCE"/>
      <color rgb="FFC66063"/>
      <color rgb="FF9ABA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ru-RU"/>
              <a:t>График структуры сетки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9.0339404014223398E-2"/>
          <c:y val="6.2081087600675433E-2"/>
          <c:w val="0.86311127723650394"/>
          <c:h val="0.763920195290274"/>
        </c:manualLayout>
      </c:layout>
      <c:lineChart>
        <c:grouping val="standard"/>
        <c:varyColors val="0"/>
        <c:ser>
          <c:idx val="0"/>
          <c:order val="0"/>
          <c:tx>
            <c:v>Сетка</c:v>
          </c:tx>
          <c:spPr>
            <a:ln w="34925" cap="rnd">
              <a:solidFill>
                <a:srgbClr val="00B0F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[0]!сетка</c:f>
              <c:numCache>
                <c:formatCode>0;[Red]0</c:formatCode>
                <c:ptCount val="13"/>
                <c:pt idx="0">
                  <c:v>0</c:v>
                </c:pt>
                <c:pt idx="1">
                  <c:v>16</c:v>
                </c:pt>
                <c:pt idx="2">
                  <c:v>32</c:v>
                </c:pt>
                <c:pt idx="3">
                  <c:v>49</c:v>
                </c:pt>
                <c:pt idx="4">
                  <c:v>67</c:v>
                </c:pt>
                <c:pt idx="5">
                  <c:v>86</c:v>
                </c:pt>
                <c:pt idx="6">
                  <c:v>106</c:v>
                </c:pt>
                <c:pt idx="7">
                  <c:v>127</c:v>
                </c:pt>
                <c:pt idx="8">
                  <c:v>149</c:v>
                </c:pt>
                <c:pt idx="9">
                  <c:v>172</c:v>
                </c:pt>
                <c:pt idx="10">
                  <c:v>196</c:v>
                </c:pt>
                <c:pt idx="11">
                  <c:v>221</c:v>
                </c:pt>
                <c:pt idx="12">
                  <c:v>247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0151-4E7C-B9F1-F664BD966892}"/>
            </c:ext>
          </c:extLst>
        </c:ser>
        <c:ser>
          <c:idx val="2"/>
          <c:order val="1"/>
          <c:tx>
            <c:v>Тейк профит</c:v>
          </c:tx>
          <c:spPr>
            <a:ln w="34925" cap="rnd">
              <a:solidFill>
                <a:srgbClr val="FF000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[0]!ТР</c:f>
              <c:numCache>
                <c:formatCode>0;[Red]0</c:formatCode>
                <c:ptCount val="13"/>
                <c:pt idx="0">
                  <c:v>10</c:v>
                </c:pt>
                <c:pt idx="1">
                  <c:v>18</c:v>
                </c:pt>
                <c:pt idx="2">
                  <c:v>24</c:v>
                </c:pt>
                <c:pt idx="3">
                  <c:v>28</c:v>
                </c:pt>
                <c:pt idx="4">
                  <c:v>33</c:v>
                </c:pt>
                <c:pt idx="5">
                  <c:v>36</c:v>
                </c:pt>
                <c:pt idx="6">
                  <c:v>39</c:v>
                </c:pt>
                <c:pt idx="7">
                  <c:v>42</c:v>
                </c:pt>
                <c:pt idx="8">
                  <c:v>43</c:v>
                </c:pt>
                <c:pt idx="9">
                  <c:v>43</c:v>
                </c:pt>
                <c:pt idx="10">
                  <c:v>43</c:v>
                </c:pt>
                <c:pt idx="11">
                  <c:v>43</c:v>
                </c:pt>
                <c:pt idx="12">
                  <c:v>43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0151-4E7C-B9F1-F664BD966892}"/>
            </c:ext>
          </c:extLst>
        </c:ser>
        <c:ser>
          <c:idx val="1"/>
          <c:order val="3"/>
          <c:tx>
            <c:v>Безубыток</c:v>
          </c:tx>
          <c:spPr>
            <a:ln w="34925" cap="rnd">
              <a:solidFill>
                <a:srgbClr val="00B05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[0]!безубыток</c:f>
              <c:numCache>
                <c:formatCode>General</c:formatCode>
                <c:ptCount val="13"/>
                <c:pt idx="0">
                  <c:v>0</c:v>
                </c:pt>
                <c:pt idx="1">
                  <c:v>8</c:v>
                </c:pt>
                <c:pt idx="2">
                  <c:v>14</c:v>
                </c:pt>
                <c:pt idx="3">
                  <c:v>18</c:v>
                </c:pt>
                <c:pt idx="4">
                  <c:v>22</c:v>
                </c:pt>
                <c:pt idx="5">
                  <c:v>24</c:v>
                </c:pt>
                <c:pt idx="6">
                  <c:v>26</c:v>
                </c:pt>
                <c:pt idx="7">
                  <c:v>28</c:v>
                </c:pt>
                <c:pt idx="8">
                  <c:v>30</c:v>
                </c:pt>
                <c:pt idx="9">
                  <c:v>31</c:v>
                </c:pt>
                <c:pt idx="10">
                  <c:v>32</c:v>
                </c:pt>
                <c:pt idx="11">
                  <c:v>33</c:v>
                </c:pt>
                <c:pt idx="12">
                  <c:v>34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0151-4E7C-B9F1-F664BD9668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227584"/>
        <c:axId val="132025152"/>
      </c:lineChart>
      <c:lineChart>
        <c:grouping val="standard"/>
        <c:varyColors val="0"/>
        <c:ser>
          <c:idx val="4"/>
          <c:order val="2"/>
          <c:tx>
            <c:v>Прибыль</c:v>
          </c:tx>
          <c:spPr>
            <a:ln w="34925" cap="rnd">
              <a:solidFill>
                <a:srgbClr val="FFC00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[0]!прибыль</c:f>
              <c:numCache>
                <c:formatCode>0.0</c:formatCode>
                <c:ptCount val="13"/>
                <c:pt idx="0">
                  <c:v>2</c:v>
                </c:pt>
                <c:pt idx="1">
                  <c:v>4</c:v>
                </c:pt>
                <c:pt idx="2">
                  <c:v>7</c:v>
                </c:pt>
                <c:pt idx="3">
                  <c:v>12</c:v>
                </c:pt>
                <c:pt idx="4">
                  <c:v>22</c:v>
                </c:pt>
                <c:pt idx="5">
                  <c:v>40.799999999999997</c:v>
                </c:pt>
                <c:pt idx="6">
                  <c:v>74.099999999999994</c:v>
                </c:pt>
                <c:pt idx="7">
                  <c:v>133</c:v>
                </c:pt>
                <c:pt idx="8">
                  <c:v>208</c:v>
                </c:pt>
                <c:pt idx="9">
                  <c:v>325.2</c:v>
                </c:pt>
                <c:pt idx="10">
                  <c:v>510.4</c:v>
                </c:pt>
                <c:pt idx="11">
                  <c:v>804</c:v>
                </c:pt>
                <c:pt idx="12">
                  <c:v>1269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0151-4E7C-B9F1-F664BD966892}"/>
            </c:ext>
          </c:extLst>
        </c:ser>
        <c:ser>
          <c:idx val="3"/>
          <c:order val="4"/>
          <c:tx>
            <c:v>Свободная маржа</c:v>
          </c:tx>
          <c:spPr>
            <a:ln w="34925" cap="rnd">
              <a:solidFill>
                <a:schemeClr val="tx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[0]!маржа</c:f>
              <c:numCache>
                <c:formatCode>0_ ;[Red]\-0\ </c:formatCode>
                <c:ptCount val="13"/>
                <c:pt idx="0">
                  <c:v>6997.88</c:v>
                </c:pt>
                <c:pt idx="1">
                  <c:v>6992.56</c:v>
                </c:pt>
                <c:pt idx="2">
                  <c:v>6982.98</c:v>
                </c:pt>
                <c:pt idx="3">
                  <c:v>6965.78</c:v>
                </c:pt>
                <c:pt idx="4">
                  <c:v>6935.7</c:v>
                </c:pt>
                <c:pt idx="5">
                  <c:v>6882.85</c:v>
                </c:pt>
                <c:pt idx="6">
                  <c:v>6790.47</c:v>
                </c:pt>
                <c:pt idx="7">
                  <c:v>6630.48</c:v>
                </c:pt>
                <c:pt idx="8">
                  <c:v>6352.57</c:v>
                </c:pt>
                <c:pt idx="9">
                  <c:v>5866.89</c:v>
                </c:pt>
                <c:pt idx="10">
                  <c:v>5011.87</c:v>
                </c:pt>
                <c:pt idx="11">
                  <c:v>3491.4</c:v>
                </c:pt>
                <c:pt idx="12">
                  <c:v>758.52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0151-4E7C-B9F1-F664BD9668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228096"/>
        <c:axId val="132025728"/>
      </c:lineChart>
      <c:catAx>
        <c:axId val="442275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ru-RU" baseline="0"/>
                  <a:t>№ </a:t>
                </a:r>
                <a:r>
                  <a:rPr lang="ru-RU" sz="700" baseline="0"/>
                  <a:t>колен</a:t>
                </a:r>
              </a:p>
            </c:rich>
          </c:tx>
          <c:layout>
            <c:manualLayout>
              <c:xMode val="edge"/>
              <c:yMode val="edge"/>
              <c:x val="4.687032541984882E-2"/>
              <c:y val="0.75947675926176528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32025152"/>
        <c:crosses val="autoZero"/>
        <c:auto val="1"/>
        <c:lblAlgn val="ctr"/>
        <c:lblOffset val="100"/>
        <c:noMultiLvlLbl val="0"/>
      </c:catAx>
      <c:valAx>
        <c:axId val="132025152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ru-RU"/>
                  <a:t>Пипсы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0;[Red]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44227584"/>
        <c:crosses val="autoZero"/>
        <c:crossBetween val="between"/>
      </c:valAx>
      <c:catAx>
        <c:axId val="44228096"/>
        <c:scaling>
          <c:orientation val="minMax"/>
        </c:scaling>
        <c:delete val="1"/>
        <c:axPos val="b"/>
        <c:majorTickMark val="none"/>
        <c:minorTickMark val="none"/>
        <c:tickLblPos val="nextTo"/>
        <c:crossAx val="132025728"/>
        <c:crosses val="autoZero"/>
        <c:auto val="1"/>
        <c:lblAlgn val="ctr"/>
        <c:lblOffset val="100"/>
        <c:noMultiLvlLbl val="0"/>
      </c:catAx>
      <c:valAx>
        <c:axId val="132025728"/>
        <c:scaling>
          <c:orientation val="minMax"/>
          <c:min val="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ru-RU"/>
                  <a:t>дОллары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44228096"/>
        <c:crosses val="max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trlProps/ctrlProp1.xml><?xml version="1.0" encoding="utf-8"?>
<formControlPr xmlns="http://schemas.microsoft.com/office/spreadsheetml/2009/9/main" objectType="Spin" dx="22" fmlaLink="$C$7" max="30000" page="10" val="5"/>
</file>

<file path=xl/ctrlProps/ctrlProp2.xml><?xml version="1.0" encoding="utf-8"?>
<formControlPr xmlns="http://schemas.microsoft.com/office/spreadsheetml/2009/9/main" objectType="Spin" dx="22" fmlaLink="$C$10" max="30000" page="10" val="9"/>
</file>

<file path=xl/ctrlProps/ctrlProp3.xml><?xml version="1.0" encoding="utf-8"?>
<formControlPr xmlns="http://schemas.microsoft.com/office/spreadsheetml/2009/9/main" objectType="Spin" dx="22" fmlaLink="$C$3" max="30000" page="10" val="10"/>
</file>

<file path=xl/ctrlProps/ctrlProp4.xml><?xml version="1.0" encoding="utf-8"?>
<formControlPr xmlns="http://schemas.microsoft.com/office/spreadsheetml/2009/9/main" objectType="Spin" dx="22" fmlaLink="$G$3" max="30000" page="10" val="16"/>
</file>

<file path=xl/ctrlProps/ctrlProp5.xml><?xml version="1.0" encoding="utf-8"?>
<formControlPr xmlns="http://schemas.microsoft.com/office/spreadsheetml/2009/9/main" objectType="Spin" dx="22" fmlaLink="$K$7" max="30000" page="10" val="5"/>
</file>

<file path=xl/ctrlProps/ctrlProp6.xml><?xml version="1.0" encoding="utf-8"?>
<formControlPr xmlns="http://schemas.microsoft.com/office/spreadsheetml/2009/9/main" objectType="Spin" dx="22" fmlaLink="$K$10" max="30000" page="10" val="0"/>
</file>

<file path=xl/ctrlProps/ctrlProp7.xml><?xml version="1.0" encoding="utf-8"?>
<formControlPr xmlns="http://schemas.microsoft.com/office/spreadsheetml/2009/9/main" objectType="Spin" dx="22" fmlaLink="$K$13" max="30000" page="10" val="0"/>
</file>

<file path=xl/ctrlProps/ctrlProp8.xml><?xml version="1.0" encoding="utf-8"?>
<formControlPr xmlns="http://schemas.microsoft.com/office/spreadsheetml/2009/9/main" objectType="Spin" dx="22" fmlaLink="$P$10" inc="500" max="30000" page="10" val="7000"/>
</file>

<file path=xl/ctrlProps/ctrlProp9.xml><?xml version="1.0" encoding="utf-8"?>
<formControlPr xmlns="http://schemas.microsoft.com/office/spreadsheetml/2009/9/main" objectType="Spin" dx="22" fmlaLink="$K$5" max="30000" page="10" val="3"/>
</file>

<file path=xl/ctrlProps/ctrlProp10.xml><?xml version="1.0" encoding="utf-8"?>
<formControlPr xmlns="http://schemas.microsoft.com/office/spreadsheetml/2009/9/main" objectType="Spin" dx="22" fmlaLink="$G$7" max="30000" page="10" val="4"/>
</file>

<file path=xl/ctrlProps/ctrlProp11.xml><?xml version="1.0" encoding="utf-8"?>
<formControlPr xmlns="http://schemas.microsoft.com/office/spreadsheetml/2009/9/main" objectType="Spin" dx="22" fmlaLink="$G$10" max="30000" page="10" val="0"/>
</file>

<file path=xl/ctrlProps/ctrlProp12.xml><?xml version="1.0" encoding="utf-8"?>
<formControlPr xmlns="http://schemas.microsoft.com/office/spreadsheetml/2009/9/main" objectType="Spin" dx="22" fmlaLink="$G$13" max="30000" page="10" val="0"/>
</file>

<file path=xl/ctrlProps/ctrlProp13.xml><?xml version="1.0" encoding="utf-8"?>
<formControlPr xmlns="http://schemas.microsoft.com/office/spreadsheetml/2009/9/main" objectType="Spin" dx="22" fmlaLink="$C$13" max="30000" page="10" val="0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1364</xdr:colOff>
          <xdr:row>2</xdr:row>
          <xdr:rowOff>13199</xdr:rowOff>
        </xdr:from>
        <xdr:to>
          <xdr:col>15</xdr:col>
          <xdr:colOff>9525</xdr:colOff>
          <xdr:row>12</xdr:row>
          <xdr:rowOff>190570</xdr:rowOff>
        </xdr:to>
        <xdr:grpSp>
          <xdr:nvGrpSpPr>
            <xdr:cNvPr id="7" name="Группа 6">
              <a:extLst>
                <a:ext uri="{FF2B5EF4-FFF2-40B4-BE49-F238E27FC236}">
                  <a16:creationId xmlns="" xmlns:a16="http://schemas.microsoft.com/office/drawing/2014/main" id="{00000000-0008-0000-0000-000007000000}"/>
                </a:ext>
              </a:extLst>
            </xdr:cNvPr>
            <xdr:cNvGrpSpPr/>
          </xdr:nvGrpSpPr>
          <xdr:grpSpPr>
            <a:xfrm>
              <a:off x="1882552" y="346574"/>
              <a:ext cx="6270848" cy="2177621"/>
              <a:chOff x="1654632" y="346569"/>
              <a:chExt cx="5716357" cy="2136809"/>
            </a:xfrm>
          </xdr:grpSpPr>
          <xdr:sp macro="" textlink="">
            <xdr:nvSpPr>
              <xdr:cNvPr id="1280" name="Spinner 256" hidden="1">
                <a:extLst>
                  <a:ext uri="{63B3BB69-23CF-44E3-9099-C40C66FF867C}">
                    <a14:compatExt spid="_x0000_s1280"/>
                  </a:ext>
                </a:extLst>
              </xdr:cNvPr>
              <xdr:cNvSpPr/>
            </xdr:nvSpPr>
            <xdr:spPr>
              <a:xfrm>
                <a:off x="6189889" y="1700893"/>
                <a:ext cx="1181100" cy="190500"/>
              </a:xfrm>
              <a:prstGeom prst="rect">
                <a:avLst/>
              </a:prstGeom>
            </xdr:spPr>
          </xdr:sp>
          <xdr:sp macro="" textlink="">
            <xdr:nvSpPr>
              <xdr:cNvPr id="1251" name="Spinner 227" hidden="1">
                <a:extLst>
                  <a:ext uri="{63B3BB69-23CF-44E3-9099-C40C66FF867C}">
                    <a14:compatExt spid="_x0000_s1251"/>
                  </a:ext>
                </a:extLst>
              </xdr:cNvPr>
              <xdr:cNvSpPr/>
            </xdr:nvSpPr>
            <xdr:spPr>
              <a:xfrm>
                <a:off x="1654632" y="1115815"/>
                <a:ext cx="112541" cy="178687"/>
              </a:xfrm>
              <a:prstGeom prst="rect">
                <a:avLst/>
              </a:prstGeom>
            </xdr:spPr>
          </xdr:sp>
          <xdr:sp macro="" textlink="">
            <xdr:nvSpPr>
              <xdr:cNvPr id="1252" name="Spinner 228" hidden="1">
                <a:extLst>
                  <a:ext uri="{63B3BB69-23CF-44E3-9099-C40C66FF867C}">
                    <a14:compatExt spid="_x0000_s1252"/>
                  </a:ext>
                </a:extLst>
              </xdr:cNvPr>
              <xdr:cNvSpPr/>
            </xdr:nvSpPr>
            <xdr:spPr>
              <a:xfrm>
                <a:off x="1655655" y="1714396"/>
                <a:ext cx="112541" cy="177515"/>
              </a:xfrm>
              <a:prstGeom prst="rect">
                <a:avLst/>
              </a:prstGeom>
            </xdr:spPr>
          </xdr:sp>
          <xdr:sp macro="" textlink="">
            <xdr:nvSpPr>
              <xdr:cNvPr id="1253" name="Spinner 229" hidden="1">
                <a:extLst>
                  <a:ext uri="{63B3BB69-23CF-44E3-9099-C40C66FF867C}">
                    <a14:compatExt spid="_x0000_s1253"/>
                  </a:ext>
                </a:extLst>
              </xdr:cNvPr>
              <xdr:cNvSpPr/>
            </xdr:nvSpPr>
            <xdr:spPr>
              <a:xfrm>
                <a:off x="1655596" y="346569"/>
                <a:ext cx="112541" cy="178688"/>
              </a:xfrm>
              <a:prstGeom prst="rect">
                <a:avLst/>
              </a:prstGeom>
            </xdr:spPr>
          </xdr:sp>
          <xdr:sp macro="" textlink="">
            <xdr:nvSpPr>
              <xdr:cNvPr id="1254" name="Spinner 230" hidden="1">
                <a:extLst>
                  <a:ext uri="{63B3BB69-23CF-44E3-9099-C40C66FF867C}">
                    <a14:compatExt spid="_x0000_s1254"/>
                  </a:ext>
                </a:extLst>
              </xdr:cNvPr>
              <xdr:cNvSpPr/>
            </xdr:nvSpPr>
            <xdr:spPr>
              <a:xfrm>
                <a:off x="3432146" y="351726"/>
                <a:ext cx="112541" cy="172247"/>
              </a:xfrm>
              <a:prstGeom prst="rect">
                <a:avLst/>
              </a:prstGeom>
            </xdr:spPr>
          </xdr:sp>
          <xdr:sp macro="" textlink="">
            <xdr:nvSpPr>
              <xdr:cNvPr id="1258" name="Spinner 234" hidden="1">
                <a:extLst>
                  <a:ext uri="{63B3BB69-23CF-44E3-9099-C40C66FF867C}">
                    <a14:compatExt spid="_x0000_s1258"/>
                  </a:ext>
                </a:extLst>
              </xdr:cNvPr>
              <xdr:cNvSpPr/>
            </xdr:nvSpPr>
            <xdr:spPr>
              <a:xfrm>
                <a:off x="5538840" y="1116954"/>
                <a:ext cx="109458" cy="178687"/>
              </a:xfrm>
              <a:prstGeom prst="rect">
                <a:avLst/>
              </a:prstGeom>
            </xdr:spPr>
          </xdr:sp>
          <xdr:sp macro="" textlink="">
            <xdr:nvSpPr>
              <xdr:cNvPr id="1259" name="Spinner 235" hidden="1">
                <a:extLst>
                  <a:ext uri="{63B3BB69-23CF-44E3-9099-C40C66FF867C}">
                    <a14:compatExt spid="_x0000_s1259"/>
                  </a:ext>
                </a:extLst>
              </xdr:cNvPr>
              <xdr:cNvSpPr/>
            </xdr:nvSpPr>
            <xdr:spPr>
              <a:xfrm>
                <a:off x="5538836" y="1714391"/>
                <a:ext cx="109458" cy="178687"/>
              </a:xfrm>
              <a:prstGeom prst="rect">
                <a:avLst/>
              </a:prstGeom>
            </xdr:spPr>
          </xdr:sp>
          <xdr:sp macro="" textlink="">
            <xdr:nvSpPr>
              <xdr:cNvPr id="1261" name="Spinner 237" hidden="1">
                <a:extLst>
                  <a:ext uri="{63B3BB69-23CF-44E3-9099-C40C66FF867C}">
                    <a14:compatExt spid="_x0000_s1261"/>
                  </a:ext>
                </a:extLst>
              </xdr:cNvPr>
              <xdr:cNvSpPr/>
            </xdr:nvSpPr>
            <xdr:spPr>
              <a:xfrm>
                <a:off x="5538835" y="2304142"/>
                <a:ext cx="109458" cy="178687"/>
              </a:xfrm>
              <a:prstGeom prst="rect">
                <a:avLst/>
              </a:prstGeom>
            </xdr:spPr>
          </xdr:sp>
          <xdr:sp macro="" textlink="">
            <xdr:nvSpPr>
              <xdr:cNvPr id="1290" name="Spinner 266" hidden="1">
                <a:extLst>
                  <a:ext uri="{63B3BB69-23CF-44E3-9099-C40C66FF867C}">
                    <a14:compatExt spid="_x0000_s1290"/>
                  </a:ext>
                </a:extLst>
              </xdr:cNvPr>
              <xdr:cNvSpPr/>
            </xdr:nvSpPr>
            <xdr:spPr>
              <a:xfrm>
                <a:off x="5539143" y="728111"/>
                <a:ext cx="109458" cy="178687"/>
              </a:xfrm>
              <a:prstGeom prst="rect">
                <a:avLst/>
              </a:prstGeom>
            </xdr:spPr>
          </xdr:sp>
          <xdr:sp macro="" textlink="">
            <xdr:nvSpPr>
              <xdr:cNvPr id="1315" name="Spinner 291" hidden="1">
                <a:extLst>
                  <a:ext uri="{63B3BB69-23CF-44E3-9099-C40C66FF867C}">
                    <a14:compatExt spid="_x0000_s1315"/>
                  </a:ext>
                </a:extLst>
              </xdr:cNvPr>
              <xdr:cNvSpPr/>
            </xdr:nvSpPr>
            <xdr:spPr>
              <a:xfrm>
                <a:off x="3432543" y="1119068"/>
                <a:ext cx="112445" cy="178497"/>
              </a:xfrm>
              <a:prstGeom prst="rect">
                <a:avLst/>
              </a:prstGeom>
            </xdr:spPr>
          </xdr:sp>
          <xdr:sp macro="" textlink="">
            <xdr:nvSpPr>
              <xdr:cNvPr id="1316" name="Spinner 292" hidden="1">
                <a:extLst>
                  <a:ext uri="{63B3BB69-23CF-44E3-9099-C40C66FF867C}">
                    <a14:compatExt spid="_x0000_s1316"/>
                  </a:ext>
                </a:extLst>
              </xdr:cNvPr>
              <xdr:cNvSpPr/>
            </xdr:nvSpPr>
            <xdr:spPr>
              <a:xfrm>
                <a:off x="3432540" y="1715541"/>
                <a:ext cx="112445" cy="177327"/>
              </a:xfrm>
              <a:prstGeom prst="rect">
                <a:avLst/>
              </a:prstGeom>
            </xdr:spPr>
          </xdr:sp>
          <xdr:sp macro="" textlink="">
            <xdr:nvSpPr>
              <xdr:cNvPr id="1317" name="Spinner 293" hidden="1">
                <a:extLst>
                  <a:ext uri="{63B3BB69-23CF-44E3-9099-C40C66FF867C}">
                    <a14:compatExt spid="_x0000_s1317"/>
                  </a:ext>
                </a:extLst>
              </xdr:cNvPr>
              <xdr:cNvSpPr/>
            </xdr:nvSpPr>
            <xdr:spPr>
              <a:xfrm>
                <a:off x="3432542" y="2299522"/>
                <a:ext cx="112445" cy="178497"/>
              </a:xfrm>
              <a:prstGeom prst="rect">
                <a:avLst/>
              </a:prstGeom>
            </xdr:spPr>
          </xdr:sp>
          <xdr:sp macro="" textlink="">
            <xdr:nvSpPr>
              <xdr:cNvPr id="1362" name="Spinner 338" hidden="1">
                <a:extLst>
                  <a:ext uri="{63B3BB69-23CF-44E3-9099-C40C66FF867C}">
                    <a14:compatExt spid="_x0000_s1362"/>
                  </a:ext>
                </a:extLst>
              </xdr:cNvPr>
              <xdr:cNvSpPr/>
            </xdr:nvSpPr>
            <xdr:spPr>
              <a:xfrm>
                <a:off x="1657667" y="2304413"/>
                <a:ext cx="108576" cy="178965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18</xdr:col>
      <xdr:colOff>571500</xdr:colOff>
      <xdr:row>28</xdr:row>
      <xdr:rowOff>47625</xdr:rowOff>
    </xdr:to>
    <xdr:graphicFrame macro="">
      <xdr:nvGraphicFramePr>
        <xdr:cNvPr id="2" name="Диаграмма 2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name="ExternalData_1" refreshOnLoad="1" connectionId="1" autoFormatId="16" applyNumberFormats="0" applyBorderFormats="0" applyFontFormats="0" applyPatternFormats="0" applyAlignmentFormats="0" applyWidthHeightFormats="0">
  <queryTableRefresh nextId="7">
    <queryTableFields count="4">
      <queryTableField id="5" name="Column1" tableColumnId="6"/>
      <queryTableField id="2" name="Валюта" tableColumnId="2"/>
      <queryTableField id="3" name="Пипсы" tableColumnId="3"/>
      <queryTableField id="4" name="%" tableColumnId="4"/>
    </queryTableFields>
  </queryTableRefresh>
</queryTable>
</file>

<file path=xl/queryTables/queryTable2.xml><?xml version="1.0" encoding="utf-8"?>
<queryTable xmlns="http://schemas.openxmlformats.org/spreadsheetml/2006/main" name="ExternalData_2" refreshOnLoad="1" connectionId="2" autoFormatId="16" applyNumberFormats="0" applyBorderFormats="0" applyFontFormats="0" applyPatternFormats="0" applyAlignmentFormats="0" applyWidthHeightFormats="0">
  <queryTableRefresh nextId="7">
    <queryTableFields count="4">
      <queryTableField id="5" name="Column1" tableColumnId="6"/>
      <queryTableField id="2" name="Валюта" tableColumnId="2"/>
      <queryTableField id="3" name="Пипсы" tableColumnId="3"/>
      <queryTableField id="4" name="%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3" name="Таблица3" displayName="Таблица3" ref="A9:E38" totalsRowShown="0" tableBorderDxfId="13">
  <autoFilter ref="A9:E38"/>
  <tableColumns count="5">
    <tableColumn id="1" name="№№ пп" dataDxfId="12">
      <calculatedColumnFormula>A9+1</calculatedColumnFormula>
    </tableColumn>
    <tableColumn id="2" name="Валютная пара" dataDxfId="11"/>
    <tableColumn id="3" name="Залог, $" dataDxfId="10"/>
    <tableColumn id="4" name="Цена пункта, $" dataDxfId="9"/>
    <tableColumn id="5" name="Спред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_0" displayName="Table_0" ref="A1:D22" tableType="queryTable" totalsRowShown="0">
  <autoFilter ref="A1:D22"/>
  <tableColumns count="4">
    <tableColumn id="6" uniqueName="6" name="Column1" queryTableFieldId="5" dataDxfId="7"/>
    <tableColumn id="2" uniqueName="2" name="Валюта" queryTableFieldId="2" dataDxfId="6"/>
    <tableColumn id="3" uniqueName="3" name="Пипсы" queryTableFieldId="3" dataDxfId="5"/>
    <tableColumn id="4" uniqueName="4" name="%" queryTableFieldId="4" dataDxfId="4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2" name="Table_1" displayName="Table_1" ref="E1:H22" tableType="queryTable" totalsRowShown="0">
  <autoFilter ref="E1:H22"/>
  <tableColumns count="4">
    <tableColumn id="6" uniqueName="6" name="Column1" queryTableFieldId="5" dataDxfId="3"/>
    <tableColumn id="2" uniqueName="2" name="Валюта" queryTableFieldId="2" dataDxfId="2"/>
    <tableColumn id="3" uniqueName="3" name="Пипсы" queryTableFieldId="3" dataDxfId="1"/>
    <tableColumn id="4" uniqueName="4" name="%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omments" Target="../comments1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8"/>
  <dimension ref="A1:AH122"/>
  <sheetViews>
    <sheetView tabSelected="1" zoomScale="80" zoomScaleNormal="80" workbookViewId="0">
      <pane xSplit="1" ySplit="15" topLeftCell="B16" activePane="bottomRight" state="frozen"/>
      <selection pane="topRight" activeCell="B1" sqref="B1"/>
      <selection pane="bottomLeft" activeCell="A16" sqref="A16"/>
      <selection pane="bottomRight" activeCell="AB29" sqref="AB29"/>
    </sheetView>
  </sheetViews>
  <sheetFormatPr defaultRowHeight="12.75" x14ac:dyDescent="0.2"/>
  <cols>
    <col min="1" max="1" width="13" customWidth="1"/>
    <col min="2" max="2" width="10" customWidth="1"/>
    <col min="3" max="3" width="5.140625" customWidth="1"/>
    <col min="4" max="4" width="1.7109375" customWidth="1"/>
    <col min="5" max="5" width="8.42578125" customWidth="1"/>
    <col min="6" max="6" width="14.140625" customWidth="1"/>
    <col min="7" max="7" width="4.5703125" customWidth="1"/>
    <col min="8" max="8" width="1.7109375" customWidth="1"/>
    <col min="9" max="9" width="13.5703125" customWidth="1"/>
    <col min="10" max="10" width="11" customWidth="1"/>
    <col min="11" max="11" width="8.42578125" customWidth="1"/>
    <col min="12" max="12" width="1.7109375" customWidth="1"/>
    <col min="13" max="13" width="13.42578125" customWidth="1"/>
    <col min="14" max="14" width="7.85546875" customWidth="1"/>
    <col min="15" max="15" width="7.140625" customWidth="1"/>
    <col min="16" max="16" width="8.5703125" customWidth="1"/>
    <col min="17" max="17" width="6" customWidth="1"/>
    <col min="18" max="18" width="6.85546875" customWidth="1"/>
    <col min="19" max="19" width="5.7109375" customWidth="1"/>
    <col min="20" max="20" width="6.7109375" customWidth="1"/>
    <col min="21" max="21" width="5.7109375" customWidth="1"/>
    <col min="22" max="22" width="1.7109375" customWidth="1"/>
    <col min="23" max="23" width="9.7109375" customWidth="1"/>
    <col min="24" max="24" width="9.42578125" customWidth="1"/>
    <col min="25" max="25" width="10.7109375" customWidth="1"/>
    <col min="26" max="26" width="6.7109375" customWidth="1"/>
    <col min="27" max="27" width="1.7109375" customWidth="1"/>
    <col min="28" max="28" width="8.42578125" customWidth="1"/>
    <col min="29" max="29" width="9.85546875" customWidth="1"/>
    <col min="30" max="31" width="7.7109375" customWidth="1"/>
    <col min="32" max="32" width="4.42578125" customWidth="1"/>
  </cols>
  <sheetData>
    <row r="1" spans="1:34" x14ac:dyDescent="0.2">
      <c r="A1" s="265" t="s">
        <v>114</v>
      </c>
      <c r="B1" s="265"/>
      <c r="C1" s="265"/>
      <c r="D1" s="265"/>
      <c r="E1" s="265"/>
      <c r="F1" s="265"/>
      <c r="G1" s="265"/>
      <c r="H1" s="265"/>
      <c r="I1" s="265"/>
      <c r="J1" s="265"/>
      <c r="K1" s="265"/>
      <c r="L1" s="78"/>
      <c r="M1" s="265" t="s">
        <v>117</v>
      </c>
      <c r="N1" s="265"/>
      <c r="O1" s="265"/>
      <c r="P1" s="266"/>
      <c r="Q1" s="265" t="s">
        <v>116</v>
      </c>
      <c r="R1" s="267"/>
      <c r="S1" s="267"/>
      <c r="T1" s="267"/>
      <c r="U1" s="267"/>
      <c r="V1" s="78"/>
      <c r="W1" s="268" t="s">
        <v>115</v>
      </c>
      <c r="X1" s="268"/>
      <c r="Y1" s="268"/>
      <c r="Z1" s="268"/>
      <c r="AA1" s="268"/>
      <c r="AB1" s="268"/>
      <c r="AC1" s="268"/>
      <c r="AD1" s="268"/>
      <c r="AE1" s="268"/>
      <c r="AF1" s="268"/>
    </row>
    <row r="2" spans="1:34" ht="13.5" thickBot="1" x14ac:dyDescent="0.25">
      <c r="C2" s="83"/>
      <c r="D2" s="84"/>
      <c r="G2" s="83"/>
      <c r="H2" s="84"/>
      <c r="I2" s="34" t="s">
        <v>47</v>
      </c>
      <c r="J2" s="33" t="str">
        <f>IF(K$2=0,"LastOrder",IF(K$2=1,"MinOrder","ОШИБКА"))</f>
        <v>LastOrder</v>
      </c>
      <c r="K2" s="129">
        <v>0</v>
      </c>
      <c r="L2" s="39"/>
      <c r="M2" s="70" t="s">
        <v>23</v>
      </c>
      <c r="N2" s="70"/>
      <c r="O2" s="70"/>
      <c r="P2" s="130" t="s">
        <v>86</v>
      </c>
      <c r="Q2" s="59"/>
      <c r="R2" s="59"/>
      <c r="S2" s="59"/>
      <c r="T2" s="59"/>
      <c r="U2" s="59"/>
      <c r="V2" s="36"/>
      <c r="W2" s="57" t="s">
        <v>123</v>
      </c>
      <c r="X2" s="60"/>
      <c r="Y2" s="62"/>
      <c r="Z2" s="65">
        <f>INDEX($G$17:$G$116,MATCH(0,$AB$17:$AB$116,-1))</f>
        <v>247</v>
      </c>
      <c r="AA2" s="62"/>
      <c r="AB2" s="133">
        <f>Z2/P5</f>
        <v>3.5906381741532196</v>
      </c>
      <c r="AC2" s="64" t="s">
        <v>106</v>
      </c>
      <c r="AD2" s="63"/>
      <c r="AE2" s="66">
        <f>MATCH(0,$AB$17:$AB$116,-1)</f>
        <v>13</v>
      </c>
      <c r="AG2" s="63"/>
      <c r="AH2" s="59"/>
    </row>
    <row r="3" spans="1:34" ht="15.75" thickBot="1" x14ac:dyDescent="0.3">
      <c r="A3" s="4" t="s">
        <v>17</v>
      </c>
      <c r="B3" s="2"/>
      <c r="C3" s="110">
        <v>10</v>
      </c>
      <c r="D3" s="85"/>
      <c r="E3" s="4" t="s">
        <v>10</v>
      </c>
      <c r="F3" s="9"/>
      <c r="G3" s="110">
        <v>16</v>
      </c>
      <c r="H3" s="85"/>
      <c r="I3" s="4" t="s">
        <v>0</v>
      </c>
      <c r="J3" s="29" t="str">
        <f>IF(K$3&lt;0,"д.б. &gt;0","")</f>
        <v/>
      </c>
      <c r="K3" s="115">
        <v>0.02</v>
      </c>
      <c r="L3" s="39"/>
      <c r="M3" s="70" t="s">
        <v>24</v>
      </c>
      <c r="N3" s="70"/>
      <c r="O3" s="70"/>
      <c r="P3" s="122">
        <v>4</v>
      </c>
      <c r="Q3" s="59"/>
      <c r="R3" s="59"/>
      <c r="S3" s="59"/>
      <c r="T3" s="59"/>
      <c r="U3" s="59"/>
      <c r="V3" s="36"/>
      <c r="W3" s="57" t="s">
        <v>144</v>
      </c>
      <c r="X3" s="62"/>
      <c r="Y3" s="62"/>
      <c r="Z3" s="82">
        <f>SUMPRODUCT($A$17:INDEX($A$17:$A$116,MATCH(0,$AB$17:$AB$116,-1)),$M$17:INDEX($M$17:$M$116,MATCH(0,$AB$17:$AB$116,-1)))/SUM($A$17:INDEX($A$17:$A$116,MATCH(0,$AB$17:$AB$116,-1)))</f>
        <v>427.47142857142859</v>
      </c>
      <c r="AA3" s="62"/>
      <c r="AB3" s="132">
        <f>$Z$3/$P$10</f>
        <v>6.106734693877551E-2</v>
      </c>
      <c r="AC3" s="57" t="s">
        <v>105</v>
      </c>
      <c r="AD3" s="62"/>
      <c r="AE3" s="67">
        <f>SUMPRODUCT($A$17:INDEX($A$17:$A$116,MATCH(0,$AB$17:$AB$116,-1)),$F$17:INDEX($F$17:$F$116,MATCH(0,$AB$17:$AB$116,-1)))/SUM($A$17:INDEX($A$17:$A$116,MATCH(0,$AB$17:$AB$116,-1)))</f>
        <v>21.868131868131869</v>
      </c>
      <c r="AF3" s="59"/>
    </row>
    <row r="4" spans="1:34" ht="15.75" thickBot="1" x14ac:dyDescent="0.3">
      <c r="A4" s="4"/>
      <c r="B4" s="2"/>
      <c r="C4" s="8"/>
      <c r="D4" s="86"/>
      <c r="E4" s="4"/>
      <c r="F4" s="9"/>
      <c r="G4" s="7"/>
      <c r="H4" s="86"/>
      <c r="I4" s="4" t="s">
        <v>1</v>
      </c>
      <c r="J4" s="29" t="str">
        <f>IF(K$4&lt;0,"д.б. &gt;0","")</f>
        <v/>
      </c>
      <c r="K4" s="230">
        <v>1.6</v>
      </c>
      <c r="L4" s="84"/>
      <c r="M4" s="71" t="s">
        <v>25</v>
      </c>
      <c r="N4" s="71"/>
      <c r="O4" s="70"/>
      <c r="P4" s="123">
        <f>IF(P3=4,VLOOKUP($P$2,Таблица3[[Валютная пара]:[Цена пункта, $]],3,),(VLOOKUP($P$2,Таблица3[[Валютная пара]:[Цена пункта, $]],3,))/10)</f>
        <v>10</v>
      </c>
      <c r="Q4" s="59"/>
      <c r="R4" s="59"/>
      <c r="S4" s="59"/>
      <c r="T4" s="59"/>
      <c r="U4" s="59"/>
      <c r="V4" s="36"/>
      <c r="W4" s="57" t="s">
        <v>143</v>
      </c>
      <c r="X4" s="62"/>
      <c r="Y4" s="62"/>
      <c r="Z4" s="82">
        <f>SUMPRODUCT($A$17:INDEX($A$17:$A$116,MATCH(0,$AB$17:$AB$116,-1)),$X$17:INDEX($X$17:$X$116,MATCH(0,$AB$17:$AB$116,-1)))/SUM($A$17:INDEX($A$17:$A$116,MATCH(0,$AB$17:$AB$116,-1)))</f>
        <v>1845.2972527472525</v>
      </c>
      <c r="AA4" s="62"/>
      <c r="AB4" s="134">
        <f>$Z$4/$P$10</f>
        <v>0.26361389324960749</v>
      </c>
      <c r="AC4" s="61" t="s">
        <v>8</v>
      </c>
      <c r="AD4" s="62"/>
      <c r="AE4" s="136">
        <f>SUMPRODUCT($A$17:INDEX($A$17:$A$116,MATCH(0,$AB$17:$AB$116,-1)),$I$17:INDEX($I$17:$I$116,MATCH(0,$AB$17:$AB$116,-1)))/SUM($A$17:INDEX($A$17:$A$116,MATCH(0,$AB$17:$AB$116,-1)))</f>
        <v>1.6824175824175827</v>
      </c>
    </row>
    <row r="5" spans="1:34" ht="15" customHeight="1" thickBot="1" x14ac:dyDescent="0.45">
      <c r="A5" s="4"/>
      <c r="B5" s="2"/>
      <c r="C5" s="8"/>
      <c r="D5" s="86"/>
      <c r="E5" s="4"/>
      <c r="F5" s="9"/>
      <c r="G5" s="8"/>
      <c r="H5" s="86"/>
      <c r="I5" s="137" t="s">
        <v>6</v>
      </c>
      <c r="J5" s="29" t="str">
        <f>IF(K$5&lt;2,"д.б. &gt;1","")</f>
        <v/>
      </c>
      <c r="K5" s="121">
        <v>3</v>
      </c>
      <c r="L5" s="84"/>
      <c r="M5" s="72" t="str">
        <f>HYPERLINK("http://ru.investing.com/tools/forex-volatility-calculator","Волатильность")</f>
        <v>Волатильность</v>
      </c>
      <c r="N5" s="72"/>
      <c r="O5" s="71"/>
      <c r="P5" s="124">
        <f>IFERROR(IF(P3=4,IFERROR(VLOOKUP($P$2,Table_0[[Валюта]:[Пипсы]],2,),VLOOKUP($P$2,Table_1[[Валюта]:[Пипсы]],2,)),(IFERROR(VLOOKUP($P$2,Table_0[[Валюта]:[Пипсы]],2,),VLOOKUP($P$2,Table_1[[Валюта]:[Пипсы]],2,)))*10),"Ошибка")</f>
        <v>68.790000000000006</v>
      </c>
      <c r="Q5" s="59"/>
      <c r="R5" s="59"/>
      <c r="S5" s="59"/>
      <c r="T5" s="59"/>
      <c r="U5" s="59"/>
      <c r="V5" s="36"/>
      <c r="W5" s="57" t="s">
        <v>120</v>
      </c>
      <c r="X5" s="63"/>
      <c r="Y5" s="63"/>
      <c r="Z5" s="66"/>
      <c r="AA5" s="63"/>
      <c r="AB5" s="134">
        <f>$Z$3/$Z$4</f>
        <v>0.23165450874378921</v>
      </c>
      <c r="AC5" s="61" t="s">
        <v>9</v>
      </c>
      <c r="AD5" s="62"/>
      <c r="AE5" s="68">
        <f>SUMPRODUCT($A$17:INDEX($A$17:$A$116,MATCH(0,$AB$17:$AB$116,-1)),$J$17:INDEX($J$17:$J$116,MATCH(0,$AB$17:$AB$116,-1)))/SUM($A$17:INDEX($A$17:$A$116,MATCH(0,$AB$17:$AB$116,-1)))</f>
        <v>1.8016703296703296</v>
      </c>
      <c r="AH5" s="35"/>
    </row>
    <row r="6" spans="1:34" ht="15" customHeight="1" thickBot="1" x14ac:dyDescent="0.45">
      <c r="A6" s="5"/>
      <c r="B6" s="2"/>
      <c r="C6" s="16"/>
      <c r="D6" s="87"/>
      <c r="E6" s="5"/>
      <c r="F6" s="9"/>
      <c r="G6" s="1"/>
      <c r="H6" s="87"/>
      <c r="I6" s="5"/>
      <c r="J6" s="29"/>
      <c r="K6" s="1"/>
      <c r="L6" s="93"/>
      <c r="M6" s="73" t="s">
        <v>27</v>
      </c>
      <c r="N6" s="73"/>
      <c r="O6" s="74"/>
      <c r="P6" s="125">
        <v>0</v>
      </c>
      <c r="Q6" s="59"/>
      <c r="R6" s="59"/>
      <c r="S6" s="59"/>
      <c r="T6" s="59"/>
      <c r="U6" s="59"/>
      <c r="V6" s="36"/>
      <c r="W6" s="57" t="s">
        <v>125</v>
      </c>
      <c r="X6" s="60"/>
      <c r="Y6" s="60"/>
      <c r="Z6" s="67">
        <f>SUMPRODUCT($A$17:INDEX($A$17:$A$116,MATCH(0,$AB$17:$AB$116,-1)),$R$17:INDEX($R$17:$R$116,MATCH(0,$AB$17:$AB$116,-1)))/SUM($A$17:INDEX($A$17:$A$116,MATCH(0,$AB$17:$AB$116,-1)))</f>
        <v>28.131868131868131</v>
      </c>
      <c r="AA6" s="60"/>
      <c r="AB6" s="134">
        <f>SUMPRODUCT($A$17:INDEX($A$17:$A$116,MATCH(0,$AB$17:$AB$116,-1)),$S$17:INDEX($S$17:$S$116,MATCH(0,$AB$17:$AB$116,-1)))/SUM($A$17:INDEX($A$17:$A$116,MATCH(0,$AB$17:$AB$116,-1)))</f>
        <v>0.21560439560439565</v>
      </c>
      <c r="AC6" s="61" t="s">
        <v>104</v>
      </c>
      <c r="AD6" s="63"/>
      <c r="AE6" s="66">
        <f>INDEX($K$17:$K$116,MATCH(0,$AB$17:$AB$116,-1))</f>
        <v>14.099999999999998</v>
      </c>
      <c r="AH6" s="35"/>
    </row>
    <row r="7" spans="1:34" ht="15.75" thickBot="1" x14ac:dyDescent="0.3">
      <c r="A7" s="31" t="s">
        <v>18</v>
      </c>
      <c r="B7" s="3"/>
      <c r="C7" s="111">
        <v>5</v>
      </c>
      <c r="D7" s="88"/>
      <c r="E7" s="31" t="s">
        <v>11</v>
      </c>
      <c r="F7" s="11"/>
      <c r="G7" s="111">
        <v>4</v>
      </c>
      <c r="H7" s="88"/>
      <c r="I7" s="31" t="s">
        <v>2</v>
      </c>
      <c r="J7" s="29" t="str">
        <f>IF(K$7&lt;0,"д.б. &gt;=0","")</f>
        <v/>
      </c>
      <c r="K7" s="116">
        <v>5</v>
      </c>
      <c r="L7" s="93"/>
      <c r="M7" s="73" t="s">
        <v>118</v>
      </c>
      <c r="N7" s="73"/>
      <c r="O7" s="79" t="s">
        <v>119</v>
      </c>
      <c r="P7" s="126"/>
      <c r="Q7" s="59"/>
      <c r="R7" s="59"/>
      <c r="S7" s="59"/>
      <c r="T7" s="59"/>
      <c r="U7" s="59"/>
      <c r="V7" s="36"/>
      <c r="W7" s="57" t="s">
        <v>126</v>
      </c>
      <c r="X7" s="63"/>
      <c r="Y7" s="63"/>
      <c r="Z7" s="67">
        <f>SUMPRODUCT($A$17:INDEX($A$17:$A$116,MATCH(0,$AB$17:$AB$116,-1)),$T$17:INDEX($T$17:$T$116,MATCH(0,$AB$17:$AB$116,-1)))/SUM($A$17:INDEX($A$17:$A$116,MATCH(0,$AB$17:$AB$116,-1)))</f>
        <v>39.395604395604394</v>
      </c>
      <c r="AA7" s="97"/>
      <c r="AB7" s="134">
        <f>SUMPRODUCT($A$17:INDEX($A$17:$A$116,MATCH(0,$AB$17:$AB$116,-1)),$U$17:INDEX($U$17:$U$116,MATCH(0,$AB$17:$AB$116,-1)))/SUM($A$17:INDEX($A$17:$A$116,MATCH(0,$AB$17:$AB$116,-1)))</f>
        <v>0.31879120879120876</v>
      </c>
      <c r="AC7" s="64" t="s">
        <v>124</v>
      </c>
      <c r="AE7" s="135">
        <f>INDEX($AD$17:$AD$116,MATCH(0,$AB$17:$AB$116,-1))</f>
        <v>14.921361702127658</v>
      </c>
      <c r="AH7" s="269">
        <v>1</v>
      </c>
    </row>
    <row r="8" spans="1:34" ht="15.75" thickBot="1" x14ac:dyDescent="0.3">
      <c r="A8" s="31" t="s">
        <v>19</v>
      </c>
      <c r="B8" s="3"/>
      <c r="C8" s="112">
        <v>1</v>
      </c>
      <c r="D8" s="89"/>
      <c r="E8" s="31" t="s">
        <v>12</v>
      </c>
      <c r="F8" s="11"/>
      <c r="G8" s="112">
        <v>1</v>
      </c>
      <c r="H8" s="89"/>
      <c r="I8" s="31" t="s">
        <v>3</v>
      </c>
      <c r="J8" s="29" t="str">
        <f>IF(AND(K$7=0,K$8&lt;&gt;0),"д.б. =0","")</f>
        <v/>
      </c>
      <c r="K8" s="238">
        <v>0.02</v>
      </c>
      <c r="L8" s="93"/>
      <c r="M8" s="73" t="s">
        <v>26</v>
      </c>
      <c r="N8" s="73"/>
      <c r="O8" s="74"/>
      <c r="P8" s="127">
        <f>VLOOKUP($P$2,Таблица3[[Валютная пара]:[Цена пункта, $]],2,)</f>
        <v>106.02</v>
      </c>
      <c r="Q8" s="59"/>
      <c r="R8" s="59"/>
      <c r="S8" s="59"/>
      <c r="T8" s="59"/>
      <c r="U8" s="59"/>
      <c r="V8" s="36"/>
      <c r="W8" s="57" t="s">
        <v>108</v>
      </c>
      <c r="X8" s="62"/>
      <c r="Y8" s="62"/>
      <c r="Z8" s="82">
        <f>INDEX($M$17:$M$116,MATCH(0,$AB$17:$AB$116,-1))</f>
        <v>1269</v>
      </c>
      <c r="AA8" s="62"/>
      <c r="AB8" s="134">
        <f>$Z$8/$P$10</f>
        <v>0.18128571428571427</v>
      </c>
      <c r="AC8" s="139" t="s">
        <v>127</v>
      </c>
      <c r="AE8" s="138">
        <f>INDEX($S$17:$S$116,MATCH(0,$AB$17:$AB$116,-1))</f>
        <v>0.14000000000000001</v>
      </c>
      <c r="AH8" s="270"/>
    </row>
    <row r="9" spans="1:34" ht="15.75" thickBot="1" x14ac:dyDescent="0.3">
      <c r="A9" s="31"/>
      <c r="B9" s="3"/>
      <c r="C9" s="17"/>
      <c r="D9" s="88"/>
      <c r="E9" s="31"/>
      <c r="F9" s="11"/>
      <c r="G9" s="12"/>
      <c r="H9" s="88"/>
      <c r="I9" s="31"/>
      <c r="J9" s="30" t="str">
        <f>IF(OR(K$7=1,K$7&lt;0,K$10=1,K$10&lt;0,AND(K$7&gt;0,K$5&gt;=K$7),AND(K$10&gt;0,K$5&gt;=K$10),AND(K$7&gt;1,K$10&gt;1,K$7&gt;=K$10),K$13&lt;0,AND(K$13&gt;0,K$5&gt;K$13),AND(K$7&gt;1,K$13&gt;0,K$7&gt;K$13),AND(K$10&gt;1,K$13&gt;0,K$10&gt;K$13)),"ОШИБКА № колен","")</f>
        <v/>
      </c>
      <c r="K9" s="12"/>
      <c r="L9" s="94"/>
      <c r="M9" s="73" t="s">
        <v>28</v>
      </c>
      <c r="N9" s="73"/>
      <c r="O9" s="74"/>
      <c r="P9" s="128">
        <v>0.1</v>
      </c>
      <c r="Q9" s="59"/>
      <c r="R9" s="59"/>
      <c r="S9" s="59"/>
      <c r="T9" s="59"/>
      <c r="U9" s="59"/>
      <c r="V9" s="36"/>
      <c r="W9" s="57" t="s">
        <v>107</v>
      </c>
      <c r="X9" s="63"/>
      <c r="Y9" s="63"/>
      <c r="Z9" s="82">
        <f>INDEX($M$17:$M$116,1)</f>
        <v>2</v>
      </c>
      <c r="AA9" s="63"/>
      <c r="AC9" s="58" t="s">
        <v>128</v>
      </c>
      <c r="AE9" s="138">
        <f>INDEX($U$17:$U$116,MATCH(0,$AB$17:$AB$116,-1))</f>
        <v>0.17</v>
      </c>
      <c r="AH9" s="271"/>
    </row>
    <row r="10" spans="1:34" ht="15.75" thickBot="1" x14ac:dyDescent="0.3">
      <c r="A10" s="141" t="s">
        <v>131</v>
      </c>
      <c r="B10" s="142"/>
      <c r="C10" s="148">
        <v>9</v>
      </c>
      <c r="D10" s="90"/>
      <c r="E10" s="32" t="s">
        <v>13</v>
      </c>
      <c r="F10" s="13"/>
      <c r="G10" s="113">
        <v>0</v>
      </c>
      <c r="H10" s="90"/>
      <c r="I10" s="32" t="s">
        <v>4</v>
      </c>
      <c r="J10" s="29" t="str">
        <f>IF(K$10&lt;0,"д.б. &gt;=0","")</f>
        <v/>
      </c>
      <c r="K10" s="117">
        <v>0</v>
      </c>
      <c r="L10" s="94"/>
      <c r="M10" s="75" t="s">
        <v>29</v>
      </c>
      <c r="N10" s="75"/>
      <c r="O10" s="76"/>
      <c r="P10" s="221">
        <v>7000</v>
      </c>
      <c r="Q10" s="59"/>
      <c r="R10" s="59"/>
      <c r="S10" s="59"/>
      <c r="T10" s="59"/>
      <c r="U10" s="59"/>
      <c r="V10" s="36"/>
      <c r="AH10" s="23"/>
    </row>
    <row r="11" spans="1:34" ht="15.75" thickBot="1" x14ac:dyDescent="0.3">
      <c r="A11" s="141" t="s">
        <v>132</v>
      </c>
      <c r="B11" s="142"/>
      <c r="C11" s="149">
        <v>-1</v>
      </c>
      <c r="D11" s="91"/>
      <c r="E11" s="32" t="s">
        <v>14</v>
      </c>
      <c r="F11" s="13"/>
      <c r="G11" s="114">
        <v>0</v>
      </c>
      <c r="H11" s="91"/>
      <c r="I11" s="32" t="s">
        <v>5</v>
      </c>
      <c r="J11" s="29" t="str">
        <f>IF(AND(K$10=0,K$11&lt;&gt;0),"д.б. =0","")</f>
        <v/>
      </c>
      <c r="K11" s="239">
        <v>0</v>
      </c>
      <c r="L11" s="94"/>
      <c r="M11" s="59"/>
      <c r="N11" s="59"/>
      <c r="O11" s="59"/>
      <c r="P11" s="69"/>
      <c r="Q11" s="59"/>
      <c r="R11" s="59"/>
      <c r="S11" s="59"/>
      <c r="T11" s="59"/>
      <c r="U11" s="59"/>
      <c r="V11" s="36"/>
      <c r="AH11" s="23"/>
    </row>
    <row r="12" spans="1:34" ht="15.75" thickBot="1" x14ac:dyDescent="0.3">
      <c r="A12" s="14"/>
      <c r="B12" s="15"/>
      <c r="C12" s="25"/>
      <c r="D12" s="37"/>
      <c r="E12" s="14"/>
      <c r="F12" s="13"/>
      <c r="G12" s="25"/>
      <c r="H12" s="91"/>
      <c r="I12" s="14"/>
      <c r="J12" s="29"/>
      <c r="K12" s="26"/>
      <c r="L12" s="95"/>
      <c r="M12" s="59"/>
      <c r="N12" s="59"/>
      <c r="O12" s="59"/>
      <c r="P12" s="69"/>
      <c r="Q12" s="77"/>
      <c r="R12" s="59"/>
      <c r="S12" s="59"/>
      <c r="T12" s="59"/>
      <c r="U12" s="59"/>
      <c r="V12" s="78"/>
      <c r="AD12" s="59"/>
      <c r="AH12" s="23"/>
    </row>
    <row r="13" spans="1:34" ht="15.75" thickBot="1" x14ac:dyDescent="0.3">
      <c r="A13" s="143" t="s">
        <v>20</v>
      </c>
      <c r="B13" s="24"/>
      <c r="C13" s="150">
        <v>0</v>
      </c>
      <c r="D13" s="37"/>
      <c r="E13" s="4" t="s">
        <v>44</v>
      </c>
      <c r="F13" s="27"/>
      <c r="G13" s="120"/>
      <c r="H13" s="92"/>
      <c r="I13" s="4" t="s">
        <v>45</v>
      </c>
      <c r="J13" s="29" t="str">
        <f>IF(K$13&lt;0,"д.б. &gt;=0","")</f>
        <v/>
      </c>
      <c r="K13" s="118">
        <v>0</v>
      </c>
      <c r="L13" s="95"/>
      <c r="M13" s="59"/>
      <c r="N13" s="59"/>
      <c r="O13" s="59"/>
      <c r="P13" s="69"/>
      <c r="Q13" s="77"/>
      <c r="R13" s="59"/>
      <c r="S13" s="59"/>
      <c r="T13" s="59"/>
      <c r="U13" s="59"/>
      <c r="V13" s="78"/>
      <c r="AC13" s="131"/>
      <c r="AD13" s="59"/>
      <c r="AH13" s="23"/>
    </row>
    <row r="14" spans="1:34" ht="17.25" customHeight="1" thickBot="1" x14ac:dyDescent="0.3">
      <c r="A14" s="143" t="s">
        <v>21</v>
      </c>
      <c r="B14" s="24"/>
      <c r="C14" s="151">
        <v>0</v>
      </c>
      <c r="D14" s="37"/>
      <c r="E14" s="4"/>
      <c r="F14" s="27"/>
      <c r="G14" s="28"/>
      <c r="H14" s="38"/>
      <c r="I14" s="6" t="s">
        <v>48</v>
      </c>
      <c r="J14" s="29" t="str">
        <f>IF(K$14&lt;0,"д.б. &gt;=0","")</f>
        <v/>
      </c>
      <c r="K14" s="119">
        <v>0</v>
      </c>
      <c r="L14" s="96"/>
      <c r="M14" s="59"/>
      <c r="N14" s="59"/>
      <c r="O14" s="59"/>
      <c r="P14" s="69"/>
      <c r="Q14" s="77"/>
      <c r="R14" s="59"/>
      <c r="S14" s="59"/>
      <c r="T14" s="59"/>
      <c r="U14" s="59"/>
      <c r="V14" s="78"/>
      <c r="AH14" s="23"/>
    </row>
    <row r="15" spans="1:34" ht="63" customHeight="1" thickBot="1" x14ac:dyDescent="0.25">
      <c r="A15" s="98" t="s">
        <v>7</v>
      </c>
      <c r="B15" s="99" t="s">
        <v>46</v>
      </c>
      <c r="C15" s="100" t="s">
        <v>16</v>
      </c>
      <c r="D15" s="145"/>
      <c r="E15" s="99" t="s">
        <v>15</v>
      </c>
      <c r="F15" s="100" t="s">
        <v>36</v>
      </c>
      <c r="G15" s="100" t="s">
        <v>35</v>
      </c>
      <c r="H15" s="145"/>
      <c r="I15" s="100" t="s">
        <v>8</v>
      </c>
      <c r="J15" s="100" t="s">
        <v>9</v>
      </c>
      <c r="K15" s="100" t="s">
        <v>37</v>
      </c>
      <c r="L15" s="145"/>
      <c r="M15" s="259" t="s">
        <v>197</v>
      </c>
      <c r="N15" s="260"/>
      <c r="O15" s="101" t="s">
        <v>22</v>
      </c>
      <c r="P15" s="261" t="s">
        <v>100</v>
      </c>
      <c r="Q15" s="262"/>
      <c r="R15" s="259" t="s">
        <v>101</v>
      </c>
      <c r="S15" s="260"/>
      <c r="T15" s="259" t="s">
        <v>102</v>
      </c>
      <c r="U15" s="260"/>
      <c r="V15" s="145"/>
      <c r="W15" s="140" t="s">
        <v>30</v>
      </c>
      <c r="X15" s="102" t="s">
        <v>33</v>
      </c>
      <c r="Y15" s="140" t="s">
        <v>34</v>
      </c>
      <c r="Z15" s="140" t="s">
        <v>32</v>
      </c>
      <c r="AA15" s="145"/>
      <c r="AB15" s="103" t="s">
        <v>43</v>
      </c>
      <c r="AC15" s="140" t="s">
        <v>31</v>
      </c>
      <c r="AD15" s="263" t="s">
        <v>38</v>
      </c>
      <c r="AE15" s="264"/>
      <c r="AF15" s="104" t="s">
        <v>39</v>
      </c>
      <c r="AG15" s="10"/>
      <c r="AH15" s="81">
        <v>2</v>
      </c>
    </row>
    <row r="16" spans="1:34" s="10" customFormat="1" ht="15" customHeight="1" x14ac:dyDescent="0.2">
      <c r="A16" s="153"/>
      <c r="B16" s="105"/>
      <c r="C16" s="154"/>
      <c r="D16" s="155"/>
      <c r="E16" s="105"/>
      <c r="F16" s="156">
        <f>COUNTIF($F$17:INDEX('Сводная таблица'!$F$17:$F$116,MATCH(0,'Сводная таблица'!$AB$17:$AB$116,-1)),"&lt;0")</f>
        <v>0</v>
      </c>
      <c r="G16" s="156">
        <f>COUNTIF($G$17:INDEX('Сводная таблица'!$G$17:$G$116,MATCH(0,'Сводная таблица'!$AB$17:$AB$116,-1)),"&lt;0")</f>
        <v>0</v>
      </c>
      <c r="H16" s="155"/>
      <c r="I16" s="156">
        <f>COUNTIF($I$17:INDEX('Сводная таблица'!$I$17:$I$116,MATCH(0,'Сводная таблица'!$AB$17:$AB$116,-1)),"&lt;0")</f>
        <v>0</v>
      </c>
      <c r="J16" s="156">
        <f>COUNTIF($J$17:INDEX('Сводная таблица'!$J$17:$J$116,MATCH(0,'Сводная таблица'!$AB$17:$AB$116,-1)),"&lt;0,005")</f>
        <v>0</v>
      </c>
      <c r="K16" s="156">
        <f>COUNTIF($K$17:INDEX('Сводная таблица'!$K$17:$K$116,MATCH(0,'Сводная таблица'!$AB$17:$AB$116,-1)),"&lt;0")</f>
        <v>0</v>
      </c>
      <c r="L16" s="155"/>
      <c r="M16" s="156">
        <f>COUNTIF($M$17:INDEX('Сводная таблица'!$M$17:$M$116,MATCH(0,'Сводная таблица'!$AB$17:$AB$116,-1)),"&lt;0")</f>
        <v>0</v>
      </c>
      <c r="N16" s="156"/>
      <c r="O16" s="156">
        <f>COUNTIF($O$17:INDEX('Сводная таблица'!$O$17:$O$116,MATCH(0,'Сводная таблица'!$AB$17:$AB$116,-1)),"&lt;0")</f>
        <v>0</v>
      </c>
      <c r="P16" s="157" t="s">
        <v>103</v>
      </c>
      <c r="Q16" s="158" t="s">
        <v>109</v>
      </c>
      <c r="R16" s="159" t="s">
        <v>110</v>
      </c>
      <c r="S16" s="159" t="s">
        <v>111</v>
      </c>
      <c r="T16" s="159" t="s">
        <v>110</v>
      </c>
      <c r="U16" s="159" t="s">
        <v>111</v>
      </c>
      <c r="V16" s="155"/>
      <c r="W16" s="156">
        <f>COUNTIF($W$17:INDEX('Сводная таблица'!$W$17:$W$116,MATCH(0,'Сводная таблица'!$AB$17:$AB$116,-1)),"&lt;0")</f>
        <v>0</v>
      </c>
      <c r="X16" s="156">
        <f>COUNTIF($X$17:INDEX('Сводная таблица'!$X$17:$X$116,MATCH(0,'Сводная таблица'!$AB$17:$AB$116,-1)),"&lt;0")</f>
        <v>0</v>
      </c>
      <c r="Y16" s="156"/>
      <c r="Z16" s="156"/>
      <c r="AA16" s="155"/>
      <c r="AB16" s="160"/>
      <c r="AC16" s="160"/>
      <c r="AD16" s="160" t="s">
        <v>112</v>
      </c>
      <c r="AE16" s="160" t="s">
        <v>113</v>
      </c>
      <c r="AF16" s="161"/>
      <c r="AH16" s="80"/>
    </row>
    <row r="17" spans="1:34" s="10" customFormat="1" ht="15" customHeight="1" x14ac:dyDescent="0.2">
      <c r="A17" s="162">
        <v>1</v>
      </c>
      <c r="B17" s="106">
        <v>0</v>
      </c>
      <c r="C17" s="163">
        <f>C$3</f>
        <v>10</v>
      </c>
      <c r="D17" s="155"/>
      <c r="E17" s="106">
        <f t="shared" ref="E17:E48" si="0">IF(OR($A17&lt;2,AND(G$13&gt;0,$A17&gt;G$13)),0,IF(AND($A17&gt;=G$10,G$10&gt;0),G$11,IF(AND($A17&gt;=G$7,G$7&gt;0),G$8,0)))</f>
        <v>0</v>
      </c>
      <c r="F17" s="164">
        <v>0</v>
      </c>
      <c r="G17" s="165">
        <f>F17</f>
        <v>0</v>
      </c>
      <c r="H17" s="155"/>
      <c r="I17" s="107">
        <f t="shared" ref="I17:I48" si="1">IF(($A17&lt;K$5),1,IF(AND($A17&gt;K$13,K$13&gt;0),I16,IF(AND($A17&gt;=K$10,K$10&gt;0),ROUND(I16+K$11,4),IF(AND($A17&gt;=K$7,K$7&gt;0),ROUND(I16+K$8,4),K$4))))</f>
        <v>1</v>
      </c>
      <c r="J17" s="166">
        <f t="shared" ref="J17:J48" si="2">IF($A17&lt;K$5, K$3, IF(K$2=0,IF(K$14&gt;0,IF(K$3*K$14&lt;ROUND(J16*I17, 3),K$3*K$14,ROUND(J16*I17, 3)),ROUND(J16*I17, 3)),IF(K$14&gt;0,IF(K$3*K$14&lt;ROUND(K$3*I17, 3),K$3*K$14,ROUND(K$3*I17, 3)),ROUND(K$3*I17, 3))))</f>
        <v>0.02</v>
      </c>
      <c r="K17" s="167">
        <f>J17</f>
        <v>0.02</v>
      </c>
      <c r="L17" s="155"/>
      <c r="M17" s="168">
        <f t="shared" ref="M17:M48" si="3">ROUND(C17*O17-K17*$P$6,2)</f>
        <v>2</v>
      </c>
      <c r="N17" s="218">
        <f>IF($P$10&gt;0,M17/$P$10,0)</f>
        <v>2.8571428571428574E-4</v>
      </c>
      <c r="O17" s="168">
        <f t="shared" ref="O17:O48" si="4">ROUND(ROUND(K17,2)*$P$4,2)</f>
        <v>0.2</v>
      </c>
      <c r="P17" s="169">
        <f>ROUND(J17*$P$6,2)</f>
        <v>0</v>
      </c>
      <c r="Q17" s="170">
        <f t="shared" ref="Q17:Q48" si="5">P17/$P$10</f>
        <v>0</v>
      </c>
      <c r="R17" s="156">
        <f>ROUND(P17/O17,0)</f>
        <v>0</v>
      </c>
      <c r="S17" s="171">
        <v>0</v>
      </c>
      <c r="T17" s="172">
        <f>R17+C17</f>
        <v>10</v>
      </c>
      <c r="U17" s="173">
        <v>0</v>
      </c>
      <c r="V17" s="155"/>
      <c r="W17" s="174">
        <f t="shared" ref="W17:W48" si="6">ROUND(K17*$P$8,2)</f>
        <v>2.12</v>
      </c>
      <c r="X17" s="175">
        <f t="shared" ref="X17:X48" si="7">ROUND(P17+W17,2)</f>
        <v>2.12</v>
      </c>
      <c r="Y17" s="176">
        <f t="shared" ref="Y17:Y48" si="8">IF(P17&gt;0,ROUND(W17/P17,2),0)</f>
        <v>0</v>
      </c>
      <c r="Z17" s="176">
        <f t="shared" ref="Z17:Z48" si="9">IF($P$10&gt;0,ROUND(W17/$P$10,2),0)</f>
        <v>0</v>
      </c>
      <c r="AA17" s="155"/>
      <c r="AB17" s="177">
        <f t="shared" ref="AB17:AB48" si="10">IF($P$10&gt;0,ROUND($P$10-X17,2),0)</f>
        <v>6997.88</v>
      </c>
      <c r="AC17" s="176">
        <f t="shared" ref="AC17:AC48" si="11">IF($P$10&gt;0,ROUND(X17/$P$10,2),0)</f>
        <v>0</v>
      </c>
      <c r="AD17" s="178">
        <f t="shared" ref="AD17:AD48" si="12">IF(AND(AB17&gt;0,$P$4&gt;0),($P$10-P17-W17*$P$9)/O17,0)</f>
        <v>34998.939999999995</v>
      </c>
      <c r="AE17" s="178">
        <f t="shared" ref="AE17:AE48" si="13">IF(AD17&gt;0,AD17+G17,0)</f>
        <v>34998.939999999995</v>
      </c>
      <c r="AF17" s="179">
        <v>1</v>
      </c>
      <c r="AH17" s="80"/>
    </row>
    <row r="18" spans="1:34" s="10" customFormat="1" ht="15" customHeight="1" x14ac:dyDescent="0.2">
      <c r="A18" s="162">
        <v>2</v>
      </c>
      <c r="B18" s="106">
        <f t="shared" ref="B18:B49" si="14">IF(AND($A18&gt;=C$13,C$13&gt;0),0,IF(AND($A18&gt;=C$10,C$10&gt;0),C$11,IF(AND($A18&gt;=C$7,C$7&gt;0),C$8,0)))</f>
        <v>0</v>
      </c>
      <c r="C18" s="163">
        <f t="shared" ref="C18:C49" si="15">IF(AND($A18&gt;=C$13,C$13&gt;0),C$14,C17+B18)</f>
        <v>10</v>
      </c>
      <c r="D18" s="155"/>
      <c r="E18" s="106">
        <f t="shared" si="0"/>
        <v>0</v>
      </c>
      <c r="F18" s="164">
        <f>G$3+E18</f>
        <v>16</v>
      </c>
      <c r="G18" s="165">
        <f>G17+F18</f>
        <v>16</v>
      </c>
      <c r="H18" s="155"/>
      <c r="I18" s="107">
        <f t="shared" si="1"/>
        <v>1</v>
      </c>
      <c r="J18" s="166">
        <f t="shared" si="2"/>
        <v>0.02</v>
      </c>
      <c r="K18" s="167">
        <f>K17+ROUND(J18,2)</f>
        <v>0.04</v>
      </c>
      <c r="L18" s="155"/>
      <c r="M18" s="168">
        <f t="shared" si="3"/>
        <v>4</v>
      </c>
      <c r="N18" s="218">
        <f t="shared" ref="N18:N81" si="16">IF($P$10&gt;0,M18/$P$10,0)</f>
        <v>5.7142857142857147E-4</v>
      </c>
      <c r="O18" s="168">
        <f t="shared" si="4"/>
        <v>0.4</v>
      </c>
      <c r="P18" s="169">
        <f t="shared" ref="P18:P49" si="17">ROUND((ROUND(K17,2)*(G18-G17)*$P$4+P17+J18*$P$6),2)</f>
        <v>3.2</v>
      </c>
      <c r="Q18" s="170">
        <f t="shared" si="5"/>
        <v>4.5714285714285719E-4</v>
      </c>
      <c r="R18" s="156">
        <f>ROUND(P18/O18,0)</f>
        <v>8</v>
      </c>
      <c r="S18" s="171">
        <f>ROUND(R18/G18,2)</f>
        <v>0.5</v>
      </c>
      <c r="T18" s="172">
        <f>R18+C18</f>
        <v>18</v>
      </c>
      <c r="U18" s="173">
        <f>ROUND(T18/G18,2)</f>
        <v>1.1299999999999999</v>
      </c>
      <c r="V18" s="155"/>
      <c r="W18" s="174">
        <f t="shared" si="6"/>
        <v>4.24</v>
      </c>
      <c r="X18" s="175">
        <f t="shared" si="7"/>
        <v>7.44</v>
      </c>
      <c r="Y18" s="176">
        <f t="shared" si="8"/>
        <v>1.33</v>
      </c>
      <c r="Z18" s="176">
        <f t="shared" si="9"/>
        <v>0</v>
      </c>
      <c r="AA18" s="155"/>
      <c r="AB18" s="177">
        <f t="shared" si="10"/>
        <v>6992.56</v>
      </c>
      <c r="AC18" s="176">
        <f t="shared" si="11"/>
        <v>0</v>
      </c>
      <c r="AD18" s="178">
        <f t="shared" si="12"/>
        <v>17490.939999999999</v>
      </c>
      <c r="AE18" s="178">
        <f t="shared" si="13"/>
        <v>17506.939999999999</v>
      </c>
      <c r="AF18" s="179">
        <v>2</v>
      </c>
      <c r="AH18" s="152"/>
    </row>
    <row r="19" spans="1:34" s="10" customFormat="1" ht="15" customHeight="1" x14ac:dyDescent="0.2">
      <c r="A19" s="162">
        <v>3</v>
      </c>
      <c r="B19" s="106">
        <f t="shared" si="14"/>
        <v>0</v>
      </c>
      <c r="C19" s="163">
        <f t="shared" si="15"/>
        <v>10</v>
      </c>
      <c r="D19" s="155"/>
      <c r="E19" s="106">
        <f t="shared" si="0"/>
        <v>0</v>
      </c>
      <c r="F19" s="164">
        <f>F18+E19</f>
        <v>16</v>
      </c>
      <c r="G19" s="165">
        <f>G18+F19</f>
        <v>32</v>
      </c>
      <c r="H19" s="155"/>
      <c r="I19" s="107">
        <f t="shared" si="1"/>
        <v>1.6</v>
      </c>
      <c r="J19" s="166">
        <f t="shared" si="2"/>
        <v>3.2000000000000001E-2</v>
      </c>
      <c r="K19" s="167">
        <f>K18+ROUND(J19,2)</f>
        <v>7.0000000000000007E-2</v>
      </c>
      <c r="L19" s="155"/>
      <c r="M19" s="168">
        <f t="shared" si="3"/>
        <v>7</v>
      </c>
      <c r="N19" s="218">
        <f t="shared" si="16"/>
        <v>1E-3</v>
      </c>
      <c r="O19" s="168">
        <f t="shared" si="4"/>
        <v>0.7</v>
      </c>
      <c r="P19" s="169">
        <f t="shared" si="17"/>
        <v>9.6</v>
      </c>
      <c r="Q19" s="170">
        <f t="shared" si="5"/>
        <v>1.3714285714285714E-3</v>
      </c>
      <c r="R19" s="156">
        <f>ROUND(P19/O19,0)</f>
        <v>14</v>
      </c>
      <c r="S19" s="171">
        <f>ROUND(R19/G19,2)</f>
        <v>0.44</v>
      </c>
      <c r="T19" s="172">
        <f>R19+C19</f>
        <v>24</v>
      </c>
      <c r="U19" s="173">
        <f>ROUND(T19/G19,2)</f>
        <v>0.75</v>
      </c>
      <c r="V19" s="155"/>
      <c r="W19" s="174">
        <f t="shared" si="6"/>
        <v>7.42</v>
      </c>
      <c r="X19" s="175">
        <f t="shared" si="7"/>
        <v>17.02</v>
      </c>
      <c r="Y19" s="176">
        <f t="shared" si="8"/>
        <v>0.77</v>
      </c>
      <c r="Z19" s="176">
        <f t="shared" si="9"/>
        <v>0</v>
      </c>
      <c r="AA19" s="155"/>
      <c r="AB19" s="177">
        <f t="shared" si="10"/>
        <v>6982.98</v>
      </c>
      <c r="AC19" s="176">
        <f t="shared" si="11"/>
        <v>0</v>
      </c>
      <c r="AD19" s="178">
        <f t="shared" si="12"/>
        <v>9985.2257142857143</v>
      </c>
      <c r="AE19" s="178">
        <f t="shared" si="13"/>
        <v>10017.225714285714</v>
      </c>
      <c r="AF19" s="179">
        <v>3</v>
      </c>
      <c r="AH19" s="152"/>
    </row>
    <row r="20" spans="1:34" s="10" customFormat="1" ht="15" customHeight="1" x14ac:dyDescent="0.2">
      <c r="A20" s="162">
        <v>4</v>
      </c>
      <c r="B20" s="106">
        <f t="shared" si="14"/>
        <v>0</v>
      </c>
      <c r="C20" s="163">
        <f t="shared" si="15"/>
        <v>10</v>
      </c>
      <c r="D20" s="155"/>
      <c r="E20" s="106">
        <f t="shared" si="0"/>
        <v>1</v>
      </c>
      <c r="F20" s="164">
        <f t="shared" ref="F20:G20" si="18">F19+E20</f>
        <v>17</v>
      </c>
      <c r="G20" s="165">
        <f t="shared" si="18"/>
        <v>49</v>
      </c>
      <c r="H20" s="155"/>
      <c r="I20" s="107">
        <f t="shared" si="1"/>
        <v>1.6</v>
      </c>
      <c r="J20" s="166">
        <f t="shared" si="2"/>
        <v>5.0999999999999997E-2</v>
      </c>
      <c r="K20" s="167">
        <f t="shared" ref="K20:K83" si="19">K19+ROUND(J20,2)</f>
        <v>0.12000000000000001</v>
      </c>
      <c r="L20" s="155"/>
      <c r="M20" s="168">
        <f t="shared" si="3"/>
        <v>12</v>
      </c>
      <c r="N20" s="218">
        <f t="shared" si="16"/>
        <v>1.7142857142857142E-3</v>
      </c>
      <c r="O20" s="168">
        <f t="shared" si="4"/>
        <v>1.2</v>
      </c>
      <c r="P20" s="169">
        <f t="shared" si="17"/>
        <v>21.5</v>
      </c>
      <c r="Q20" s="170">
        <f t="shared" si="5"/>
        <v>3.0714285714285713E-3</v>
      </c>
      <c r="R20" s="156">
        <f t="shared" ref="R20:R83" si="20">ROUND(P20/O20,0)</f>
        <v>18</v>
      </c>
      <c r="S20" s="171">
        <f t="shared" ref="S20:S83" si="21">ROUND(R20/G20,2)</f>
        <v>0.37</v>
      </c>
      <c r="T20" s="172">
        <f t="shared" ref="T20:T83" si="22">R20+C20</f>
        <v>28</v>
      </c>
      <c r="U20" s="173">
        <f t="shared" ref="U20:U83" si="23">ROUND(T20/G20,2)</f>
        <v>0.56999999999999995</v>
      </c>
      <c r="V20" s="155"/>
      <c r="W20" s="174">
        <f t="shared" si="6"/>
        <v>12.72</v>
      </c>
      <c r="X20" s="175">
        <f t="shared" si="7"/>
        <v>34.22</v>
      </c>
      <c r="Y20" s="176">
        <f t="shared" si="8"/>
        <v>0.59</v>
      </c>
      <c r="Z20" s="176">
        <f t="shared" si="9"/>
        <v>0</v>
      </c>
      <c r="AA20" s="155"/>
      <c r="AB20" s="177">
        <f t="shared" si="10"/>
        <v>6965.78</v>
      </c>
      <c r="AC20" s="176">
        <f t="shared" si="11"/>
        <v>0</v>
      </c>
      <c r="AD20" s="178">
        <f t="shared" si="12"/>
        <v>5814.3566666666666</v>
      </c>
      <c r="AE20" s="178">
        <f t="shared" si="13"/>
        <v>5863.3566666666666</v>
      </c>
      <c r="AF20" s="179">
        <v>4</v>
      </c>
      <c r="AH20" s="152"/>
    </row>
    <row r="21" spans="1:34" s="10" customFormat="1" ht="15" customHeight="1" x14ac:dyDescent="0.2">
      <c r="A21" s="162">
        <v>5</v>
      </c>
      <c r="B21" s="108">
        <f t="shared" si="14"/>
        <v>1</v>
      </c>
      <c r="C21" s="180">
        <f t="shared" si="15"/>
        <v>11</v>
      </c>
      <c r="D21" s="181"/>
      <c r="E21" s="108">
        <f t="shared" si="0"/>
        <v>1</v>
      </c>
      <c r="F21" s="180">
        <f t="shared" ref="F21:G21" si="24">F20+E21</f>
        <v>18</v>
      </c>
      <c r="G21" s="180">
        <f t="shared" si="24"/>
        <v>67</v>
      </c>
      <c r="H21" s="181"/>
      <c r="I21" s="109">
        <f t="shared" si="1"/>
        <v>1.62</v>
      </c>
      <c r="J21" s="182">
        <f t="shared" si="2"/>
        <v>8.3000000000000004E-2</v>
      </c>
      <c r="K21" s="182">
        <f t="shared" si="19"/>
        <v>0.2</v>
      </c>
      <c r="L21" s="183"/>
      <c r="M21" s="184">
        <f t="shared" si="3"/>
        <v>22</v>
      </c>
      <c r="N21" s="219">
        <f t="shared" si="16"/>
        <v>3.142857142857143E-3</v>
      </c>
      <c r="O21" s="184">
        <f t="shared" si="4"/>
        <v>2</v>
      </c>
      <c r="P21" s="185">
        <f t="shared" si="17"/>
        <v>43.1</v>
      </c>
      <c r="Q21" s="186">
        <f t="shared" si="5"/>
        <v>6.1571428571428576E-3</v>
      </c>
      <c r="R21" s="187">
        <f t="shared" si="20"/>
        <v>22</v>
      </c>
      <c r="S21" s="188">
        <f t="shared" si="21"/>
        <v>0.33</v>
      </c>
      <c r="T21" s="189">
        <f t="shared" si="22"/>
        <v>33</v>
      </c>
      <c r="U21" s="188">
        <f t="shared" si="23"/>
        <v>0.49</v>
      </c>
      <c r="V21" s="190"/>
      <c r="W21" s="191">
        <f t="shared" si="6"/>
        <v>21.2</v>
      </c>
      <c r="X21" s="192">
        <f t="shared" si="7"/>
        <v>64.3</v>
      </c>
      <c r="Y21" s="193">
        <f t="shared" si="8"/>
        <v>0.49</v>
      </c>
      <c r="Z21" s="193">
        <f t="shared" si="9"/>
        <v>0</v>
      </c>
      <c r="AA21" s="194"/>
      <c r="AB21" s="195">
        <f t="shared" si="10"/>
        <v>6935.7</v>
      </c>
      <c r="AC21" s="193">
        <f t="shared" si="11"/>
        <v>0.01</v>
      </c>
      <c r="AD21" s="196">
        <f t="shared" si="12"/>
        <v>3477.39</v>
      </c>
      <c r="AE21" s="196">
        <f t="shared" si="13"/>
        <v>3544.39</v>
      </c>
      <c r="AF21" s="179">
        <v>5</v>
      </c>
      <c r="AH21" s="152"/>
    </row>
    <row r="22" spans="1:34" s="10" customFormat="1" ht="15" customHeight="1" x14ac:dyDescent="0.2">
      <c r="A22" s="162">
        <v>6</v>
      </c>
      <c r="B22" s="106">
        <f t="shared" si="14"/>
        <v>1</v>
      </c>
      <c r="C22" s="163">
        <f t="shared" si="15"/>
        <v>12</v>
      </c>
      <c r="D22" s="155"/>
      <c r="E22" s="106">
        <f t="shared" si="0"/>
        <v>1</v>
      </c>
      <c r="F22" s="164">
        <f t="shared" ref="F22:G22" si="25">F21+E22</f>
        <v>19</v>
      </c>
      <c r="G22" s="165">
        <f t="shared" si="25"/>
        <v>86</v>
      </c>
      <c r="H22" s="155"/>
      <c r="I22" s="107">
        <f t="shared" si="1"/>
        <v>1.64</v>
      </c>
      <c r="J22" s="166">
        <f t="shared" si="2"/>
        <v>0.13600000000000001</v>
      </c>
      <c r="K22" s="167">
        <f t="shared" si="19"/>
        <v>0.34</v>
      </c>
      <c r="L22" s="155"/>
      <c r="M22" s="168">
        <f t="shared" si="3"/>
        <v>40.799999999999997</v>
      </c>
      <c r="N22" s="218">
        <f t="shared" si="16"/>
        <v>5.8285714285714278E-3</v>
      </c>
      <c r="O22" s="168">
        <f t="shared" si="4"/>
        <v>3.4</v>
      </c>
      <c r="P22" s="169">
        <f t="shared" si="17"/>
        <v>81.099999999999994</v>
      </c>
      <c r="Q22" s="170">
        <f t="shared" si="5"/>
        <v>1.1585714285714284E-2</v>
      </c>
      <c r="R22" s="156">
        <f t="shared" si="20"/>
        <v>24</v>
      </c>
      <c r="S22" s="171">
        <f t="shared" si="21"/>
        <v>0.28000000000000003</v>
      </c>
      <c r="T22" s="172">
        <f t="shared" si="22"/>
        <v>36</v>
      </c>
      <c r="U22" s="173">
        <f t="shared" si="23"/>
        <v>0.42</v>
      </c>
      <c r="V22" s="155"/>
      <c r="W22" s="174">
        <f t="shared" si="6"/>
        <v>36.049999999999997</v>
      </c>
      <c r="X22" s="175">
        <f t="shared" si="7"/>
        <v>117.15</v>
      </c>
      <c r="Y22" s="176">
        <f t="shared" si="8"/>
        <v>0.44</v>
      </c>
      <c r="Z22" s="176">
        <f t="shared" si="9"/>
        <v>0.01</v>
      </c>
      <c r="AA22" s="155"/>
      <c r="AB22" s="177">
        <f t="shared" si="10"/>
        <v>6882.85</v>
      </c>
      <c r="AC22" s="176">
        <f t="shared" si="11"/>
        <v>0.02</v>
      </c>
      <c r="AD22" s="178">
        <f t="shared" si="12"/>
        <v>2033.910294117647</v>
      </c>
      <c r="AE22" s="178">
        <f t="shared" si="13"/>
        <v>2119.910294117647</v>
      </c>
      <c r="AF22" s="179">
        <v>6</v>
      </c>
      <c r="AH22" s="152"/>
    </row>
    <row r="23" spans="1:34" s="10" customFormat="1" ht="15" customHeight="1" x14ac:dyDescent="0.2">
      <c r="A23" s="162">
        <v>7</v>
      </c>
      <c r="B23" s="106">
        <f t="shared" si="14"/>
        <v>1</v>
      </c>
      <c r="C23" s="163">
        <f t="shared" si="15"/>
        <v>13</v>
      </c>
      <c r="D23" s="155"/>
      <c r="E23" s="106">
        <f t="shared" si="0"/>
        <v>1</v>
      </c>
      <c r="F23" s="164">
        <f t="shared" ref="F23:G23" si="26">F22+E23</f>
        <v>20</v>
      </c>
      <c r="G23" s="165">
        <f t="shared" si="26"/>
        <v>106</v>
      </c>
      <c r="H23" s="155"/>
      <c r="I23" s="107">
        <f t="shared" si="1"/>
        <v>1.66</v>
      </c>
      <c r="J23" s="166">
        <f t="shared" si="2"/>
        <v>0.22600000000000001</v>
      </c>
      <c r="K23" s="167">
        <f t="shared" si="19"/>
        <v>0.57000000000000006</v>
      </c>
      <c r="L23" s="155"/>
      <c r="M23" s="168">
        <f t="shared" si="3"/>
        <v>74.099999999999994</v>
      </c>
      <c r="N23" s="218">
        <f t="shared" si="16"/>
        <v>1.0585714285714285E-2</v>
      </c>
      <c r="O23" s="168">
        <f t="shared" si="4"/>
        <v>5.7</v>
      </c>
      <c r="P23" s="169">
        <f t="shared" si="17"/>
        <v>149.1</v>
      </c>
      <c r="Q23" s="170">
        <f t="shared" si="5"/>
        <v>2.1299999999999999E-2</v>
      </c>
      <c r="R23" s="156">
        <f t="shared" si="20"/>
        <v>26</v>
      </c>
      <c r="S23" s="171">
        <f t="shared" si="21"/>
        <v>0.25</v>
      </c>
      <c r="T23" s="172">
        <f t="shared" si="22"/>
        <v>39</v>
      </c>
      <c r="U23" s="173">
        <f t="shared" si="23"/>
        <v>0.37</v>
      </c>
      <c r="V23" s="155"/>
      <c r="W23" s="174">
        <f t="shared" si="6"/>
        <v>60.43</v>
      </c>
      <c r="X23" s="175">
        <f t="shared" si="7"/>
        <v>209.53</v>
      </c>
      <c r="Y23" s="176">
        <f t="shared" si="8"/>
        <v>0.41</v>
      </c>
      <c r="Z23" s="176">
        <f t="shared" si="9"/>
        <v>0.01</v>
      </c>
      <c r="AA23" s="155"/>
      <c r="AB23" s="177">
        <f t="shared" si="10"/>
        <v>6790.47</v>
      </c>
      <c r="AC23" s="176">
        <f t="shared" si="11"/>
        <v>0.03</v>
      </c>
      <c r="AD23" s="178">
        <f t="shared" si="12"/>
        <v>1200.8521052631579</v>
      </c>
      <c r="AE23" s="178">
        <f t="shared" si="13"/>
        <v>1306.8521052631579</v>
      </c>
      <c r="AF23" s="179">
        <v>7</v>
      </c>
      <c r="AH23" s="197"/>
    </row>
    <row r="24" spans="1:34" s="10" customFormat="1" ht="15" customHeight="1" x14ac:dyDescent="0.2">
      <c r="A24" s="162">
        <v>8</v>
      </c>
      <c r="B24" s="106">
        <f t="shared" si="14"/>
        <v>1</v>
      </c>
      <c r="C24" s="163">
        <f t="shared" si="15"/>
        <v>14</v>
      </c>
      <c r="D24" s="155"/>
      <c r="E24" s="106">
        <f t="shared" si="0"/>
        <v>1</v>
      </c>
      <c r="F24" s="164">
        <f t="shared" ref="F24:G24" si="27">F23+E24</f>
        <v>21</v>
      </c>
      <c r="G24" s="165">
        <f t="shared" si="27"/>
        <v>127</v>
      </c>
      <c r="H24" s="155"/>
      <c r="I24" s="107">
        <f t="shared" si="1"/>
        <v>1.68</v>
      </c>
      <c r="J24" s="166">
        <f t="shared" si="2"/>
        <v>0.38</v>
      </c>
      <c r="K24" s="167">
        <f t="shared" si="19"/>
        <v>0.95000000000000007</v>
      </c>
      <c r="L24" s="155"/>
      <c r="M24" s="168">
        <f t="shared" si="3"/>
        <v>133</v>
      </c>
      <c r="N24" s="218">
        <f t="shared" si="16"/>
        <v>1.9E-2</v>
      </c>
      <c r="O24" s="168">
        <f t="shared" si="4"/>
        <v>9.5</v>
      </c>
      <c r="P24" s="169">
        <f t="shared" si="17"/>
        <v>268.8</v>
      </c>
      <c r="Q24" s="170">
        <f t="shared" si="5"/>
        <v>3.8400000000000004E-2</v>
      </c>
      <c r="R24" s="156">
        <f t="shared" si="20"/>
        <v>28</v>
      </c>
      <c r="S24" s="171">
        <f t="shared" si="21"/>
        <v>0.22</v>
      </c>
      <c r="T24" s="172">
        <f t="shared" si="22"/>
        <v>42</v>
      </c>
      <c r="U24" s="173">
        <f t="shared" si="23"/>
        <v>0.33</v>
      </c>
      <c r="V24" s="155"/>
      <c r="W24" s="174">
        <f t="shared" si="6"/>
        <v>100.72</v>
      </c>
      <c r="X24" s="175">
        <f t="shared" si="7"/>
        <v>369.52</v>
      </c>
      <c r="Y24" s="176">
        <f t="shared" si="8"/>
        <v>0.37</v>
      </c>
      <c r="Z24" s="176">
        <f t="shared" si="9"/>
        <v>0.01</v>
      </c>
      <c r="AA24" s="155"/>
      <c r="AB24" s="177">
        <f t="shared" si="10"/>
        <v>6630.48</v>
      </c>
      <c r="AC24" s="176">
        <f t="shared" si="11"/>
        <v>0.05</v>
      </c>
      <c r="AD24" s="178">
        <f t="shared" si="12"/>
        <v>707.48715789473681</v>
      </c>
      <c r="AE24" s="178">
        <f t="shared" si="13"/>
        <v>834.48715789473681</v>
      </c>
      <c r="AF24" s="179">
        <v>8</v>
      </c>
      <c r="AH24" s="197"/>
    </row>
    <row r="25" spans="1:34" s="10" customFormat="1" ht="15" customHeight="1" x14ac:dyDescent="0.2">
      <c r="A25" s="162">
        <v>9</v>
      </c>
      <c r="B25" s="106">
        <f t="shared" si="14"/>
        <v>-1</v>
      </c>
      <c r="C25" s="163">
        <f t="shared" si="15"/>
        <v>13</v>
      </c>
      <c r="D25" s="155"/>
      <c r="E25" s="106">
        <f t="shared" si="0"/>
        <v>1</v>
      </c>
      <c r="F25" s="164">
        <f t="shared" ref="F25:G25" si="28">F24+E25</f>
        <v>22</v>
      </c>
      <c r="G25" s="165">
        <f t="shared" si="28"/>
        <v>149</v>
      </c>
      <c r="H25" s="155"/>
      <c r="I25" s="107">
        <f t="shared" si="1"/>
        <v>1.7</v>
      </c>
      <c r="J25" s="166">
        <f t="shared" si="2"/>
        <v>0.64600000000000002</v>
      </c>
      <c r="K25" s="167">
        <f t="shared" si="19"/>
        <v>1.6</v>
      </c>
      <c r="L25" s="155"/>
      <c r="M25" s="168">
        <f t="shared" si="3"/>
        <v>208</v>
      </c>
      <c r="N25" s="218">
        <f t="shared" si="16"/>
        <v>2.9714285714285714E-2</v>
      </c>
      <c r="O25" s="168">
        <f t="shared" si="4"/>
        <v>16</v>
      </c>
      <c r="P25" s="169">
        <f t="shared" si="17"/>
        <v>477.8</v>
      </c>
      <c r="Q25" s="170">
        <f t="shared" si="5"/>
        <v>6.8257142857142863E-2</v>
      </c>
      <c r="R25" s="156">
        <f t="shared" si="20"/>
        <v>30</v>
      </c>
      <c r="S25" s="171">
        <f t="shared" si="21"/>
        <v>0.2</v>
      </c>
      <c r="T25" s="172">
        <f t="shared" si="22"/>
        <v>43</v>
      </c>
      <c r="U25" s="173">
        <f t="shared" si="23"/>
        <v>0.28999999999999998</v>
      </c>
      <c r="V25" s="155"/>
      <c r="W25" s="174">
        <f t="shared" si="6"/>
        <v>169.63</v>
      </c>
      <c r="X25" s="175">
        <f t="shared" si="7"/>
        <v>647.42999999999995</v>
      </c>
      <c r="Y25" s="176">
        <f t="shared" si="8"/>
        <v>0.36</v>
      </c>
      <c r="Z25" s="176">
        <f t="shared" si="9"/>
        <v>0.02</v>
      </c>
      <c r="AA25" s="155"/>
      <c r="AB25" s="177">
        <f t="shared" si="10"/>
        <v>6352.57</v>
      </c>
      <c r="AC25" s="176">
        <f t="shared" si="11"/>
        <v>0.09</v>
      </c>
      <c r="AD25" s="178">
        <f t="shared" si="12"/>
        <v>406.57731250000001</v>
      </c>
      <c r="AE25" s="178">
        <f t="shared" si="13"/>
        <v>555.57731250000006</v>
      </c>
      <c r="AF25" s="179">
        <v>9</v>
      </c>
      <c r="AH25" s="198"/>
    </row>
    <row r="26" spans="1:34" s="10" customFormat="1" ht="15" customHeight="1" x14ac:dyDescent="0.2">
      <c r="A26" s="162">
        <v>10</v>
      </c>
      <c r="B26" s="108">
        <f t="shared" si="14"/>
        <v>-1</v>
      </c>
      <c r="C26" s="180">
        <f t="shared" si="15"/>
        <v>12</v>
      </c>
      <c r="D26" s="181"/>
      <c r="E26" s="108">
        <f t="shared" si="0"/>
        <v>1</v>
      </c>
      <c r="F26" s="180">
        <f t="shared" ref="F26:G26" si="29">F25+E26</f>
        <v>23</v>
      </c>
      <c r="G26" s="180">
        <f t="shared" si="29"/>
        <v>172</v>
      </c>
      <c r="H26" s="181"/>
      <c r="I26" s="109">
        <f t="shared" si="1"/>
        <v>1.72</v>
      </c>
      <c r="J26" s="182">
        <f t="shared" si="2"/>
        <v>1.111</v>
      </c>
      <c r="K26" s="182">
        <f t="shared" si="19"/>
        <v>2.71</v>
      </c>
      <c r="L26" s="183"/>
      <c r="M26" s="184">
        <f t="shared" si="3"/>
        <v>325.2</v>
      </c>
      <c r="N26" s="219">
        <f t="shared" si="16"/>
        <v>4.6457142857142857E-2</v>
      </c>
      <c r="O26" s="184">
        <f t="shared" si="4"/>
        <v>27.1</v>
      </c>
      <c r="P26" s="185">
        <f t="shared" si="17"/>
        <v>845.8</v>
      </c>
      <c r="Q26" s="186">
        <f t="shared" si="5"/>
        <v>0.12082857142857142</v>
      </c>
      <c r="R26" s="187">
        <f t="shared" si="20"/>
        <v>31</v>
      </c>
      <c r="S26" s="188">
        <f t="shared" si="21"/>
        <v>0.18</v>
      </c>
      <c r="T26" s="189">
        <f t="shared" si="22"/>
        <v>43</v>
      </c>
      <c r="U26" s="188">
        <f t="shared" si="23"/>
        <v>0.25</v>
      </c>
      <c r="V26" s="190"/>
      <c r="W26" s="191">
        <f t="shared" si="6"/>
        <v>287.31</v>
      </c>
      <c r="X26" s="192">
        <f t="shared" si="7"/>
        <v>1133.1099999999999</v>
      </c>
      <c r="Y26" s="193">
        <f t="shared" si="8"/>
        <v>0.34</v>
      </c>
      <c r="Z26" s="193">
        <f t="shared" si="9"/>
        <v>0.04</v>
      </c>
      <c r="AA26" s="194"/>
      <c r="AB26" s="195">
        <f t="shared" si="10"/>
        <v>5866.89</v>
      </c>
      <c r="AC26" s="193">
        <f t="shared" si="11"/>
        <v>0.16</v>
      </c>
      <c r="AD26" s="196">
        <f t="shared" si="12"/>
        <v>226.03206642066419</v>
      </c>
      <c r="AE26" s="196">
        <f t="shared" si="13"/>
        <v>398.03206642066419</v>
      </c>
      <c r="AF26" s="179">
        <v>10</v>
      </c>
    </row>
    <row r="27" spans="1:34" s="10" customFormat="1" ht="15" customHeight="1" x14ac:dyDescent="0.2">
      <c r="A27" s="162">
        <v>11</v>
      </c>
      <c r="B27" s="106">
        <f t="shared" si="14"/>
        <v>-1</v>
      </c>
      <c r="C27" s="163">
        <f t="shared" si="15"/>
        <v>11</v>
      </c>
      <c r="D27" s="155"/>
      <c r="E27" s="106">
        <f t="shared" si="0"/>
        <v>1</v>
      </c>
      <c r="F27" s="164">
        <f t="shared" ref="F27:G27" si="30">F26+E27</f>
        <v>24</v>
      </c>
      <c r="G27" s="165">
        <f t="shared" si="30"/>
        <v>196</v>
      </c>
      <c r="H27" s="155"/>
      <c r="I27" s="107">
        <f t="shared" si="1"/>
        <v>1.74</v>
      </c>
      <c r="J27" s="166">
        <f t="shared" si="2"/>
        <v>1.9330000000000001</v>
      </c>
      <c r="K27" s="167">
        <f t="shared" si="19"/>
        <v>4.6399999999999997</v>
      </c>
      <c r="L27" s="155"/>
      <c r="M27" s="168">
        <f t="shared" si="3"/>
        <v>510.4</v>
      </c>
      <c r="N27" s="218">
        <f t="shared" si="16"/>
        <v>7.2914285714285709E-2</v>
      </c>
      <c r="O27" s="168">
        <f t="shared" si="4"/>
        <v>46.4</v>
      </c>
      <c r="P27" s="169">
        <f t="shared" si="17"/>
        <v>1496.2</v>
      </c>
      <c r="Q27" s="170">
        <f t="shared" si="5"/>
        <v>0.21374285714285715</v>
      </c>
      <c r="R27" s="156">
        <f t="shared" si="20"/>
        <v>32</v>
      </c>
      <c r="S27" s="171">
        <f t="shared" si="21"/>
        <v>0.16</v>
      </c>
      <c r="T27" s="172">
        <f t="shared" si="22"/>
        <v>43</v>
      </c>
      <c r="U27" s="173">
        <f t="shared" si="23"/>
        <v>0.22</v>
      </c>
      <c r="V27" s="155"/>
      <c r="W27" s="174">
        <f t="shared" si="6"/>
        <v>491.93</v>
      </c>
      <c r="X27" s="175">
        <f t="shared" si="7"/>
        <v>1988.13</v>
      </c>
      <c r="Y27" s="176">
        <f t="shared" si="8"/>
        <v>0.33</v>
      </c>
      <c r="Z27" s="176">
        <f t="shared" si="9"/>
        <v>7.0000000000000007E-2</v>
      </c>
      <c r="AA27" s="155"/>
      <c r="AB27" s="177">
        <f t="shared" si="10"/>
        <v>5011.87</v>
      </c>
      <c r="AC27" s="176">
        <f t="shared" si="11"/>
        <v>0.28000000000000003</v>
      </c>
      <c r="AD27" s="178">
        <f t="shared" si="12"/>
        <v>117.55618534482758</v>
      </c>
      <c r="AE27" s="178">
        <f t="shared" si="13"/>
        <v>313.55618534482755</v>
      </c>
      <c r="AF27" s="179">
        <v>11</v>
      </c>
    </row>
    <row r="28" spans="1:34" s="10" customFormat="1" ht="15" customHeight="1" x14ac:dyDescent="0.2">
      <c r="A28" s="162">
        <v>12</v>
      </c>
      <c r="B28" s="106">
        <f t="shared" si="14"/>
        <v>-1</v>
      </c>
      <c r="C28" s="163">
        <f t="shared" si="15"/>
        <v>10</v>
      </c>
      <c r="D28" s="155"/>
      <c r="E28" s="106">
        <f t="shared" si="0"/>
        <v>1</v>
      </c>
      <c r="F28" s="164">
        <f t="shared" ref="F28:G28" si="31">F27+E28</f>
        <v>25</v>
      </c>
      <c r="G28" s="165">
        <f t="shared" si="31"/>
        <v>221</v>
      </c>
      <c r="H28" s="155"/>
      <c r="I28" s="107">
        <f t="shared" si="1"/>
        <v>1.76</v>
      </c>
      <c r="J28" s="166">
        <f t="shared" si="2"/>
        <v>3.4020000000000001</v>
      </c>
      <c r="K28" s="167">
        <f t="shared" si="19"/>
        <v>8.0399999999999991</v>
      </c>
      <c r="L28" s="155"/>
      <c r="M28" s="168">
        <f t="shared" si="3"/>
        <v>804</v>
      </c>
      <c r="N28" s="218">
        <f t="shared" si="16"/>
        <v>0.11485714285714285</v>
      </c>
      <c r="O28" s="168">
        <f t="shared" si="4"/>
        <v>80.400000000000006</v>
      </c>
      <c r="P28" s="169">
        <f t="shared" si="17"/>
        <v>2656.2</v>
      </c>
      <c r="Q28" s="170">
        <f t="shared" si="5"/>
        <v>0.37945714285714283</v>
      </c>
      <c r="R28" s="156">
        <f t="shared" si="20"/>
        <v>33</v>
      </c>
      <c r="S28" s="171">
        <f t="shared" si="21"/>
        <v>0.15</v>
      </c>
      <c r="T28" s="172">
        <f t="shared" si="22"/>
        <v>43</v>
      </c>
      <c r="U28" s="173">
        <f t="shared" si="23"/>
        <v>0.19</v>
      </c>
      <c r="V28" s="155"/>
      <c r="W28" s="174">
        <f t="shared" si="6"/>
        <v>852.4</v>
      </c>
      <c r="X28" s="175">
        <f t="shared" si="7"/>
        <v>3508.6</v>
      </c>
      <c r="Y28" s="176">
        <f t="shared" si="8"/>
        <v>0.32</v>
      </c>
      <c r="Z28" s="176">
        <f t="shared" si="9"/>
        <v>0.12</v>
      </c>
      <c r="AA28" s="155"/>
      <c r="AB28" s="177">
        <f t="shared" si="10"/>
        <v>3491.4</v>
      </c>
      <c r="AC28" s="176">
        <f t="shared" si="11"/>
        <v>0.5</v>
      </c>
      <c r="AD28" s="178">
        <f t="shared" si="12"/>
        <v>52.967164179104479</v>
      </c>
      <c r="AE28" s="178">
        <f t="shared" si="13"/>
        <v>273.96716417910449</v>
      </c>
      <c r="AF28" s="179">
        <v>12</v>
      </c>
    </row>
    <row r="29" spans="1:34" s="10" customFormat="1" ht="15" customHeight="1" x14ac:dyDescent="0.2">
      <c r="A29" s="162">
        <v>13</v>
      </c>
      <c r="B29" s="106">
        <f t="shared" si="14"/>
        <v>-1</v>
      </c>
      <c r="C29" s="163">
        <f t="shared" si="15"/>
        <v>9</v>
      </c>
      <c r="D29" s="155"/>
      <c r="E29" s="106">
        <f t="shared" si="0"/>
        <v>1</v>
      </c>
      <c r="F29" s="164">
        <f t="shared" ref="F29:G29" si="32">F28+E29</f>
        <v>26</v>
      </c>
      <c r="G29" s="165">
        <f t="shared" si="32"/>
        <v>247</v>
      </c>
      <c r="H29" s="155"/>
      <c r="I29" s="107">
        <f t="shared" si="1"/>
        <v>1.78</v>
      </c>
      <c r="J29" s="166">
        <f t="shared" si="2"/>
        <v>6.056</v>
      </c>
      <c r="K29" s="167">
        <f t="shared" si="19"/>
        <v>14.099999999999998</v>
      </c>
      <c r="L29" s="155"/>
      <c r="M29" s="168">
        <f t="shared" si="3"/>
        <v>1269</v>
      </c>
      <c r="N29" s="218">
        <f t="shared" si="16"/>
        <v>0.18128571428571427</v>
      </c>
      <c r="O29" s="168">
        <f t="shared" si="4"/>
        <v>141</v>
      </c>
      <c r="P29" s="169">
        <f t="shared" si="17"/>
        <v>4746.6000000000004</v>
      </c>
      <c r="Q29" s="170">
        <f t="shared" si="5"/>
        <v>0.67808571428571429</v>
      </c>
      <c r="R29" s="156">
        <f t="shared" si="20"/>
        <v>34</v>
      </c>
      <c r="S29" s="171">
        <f t="shared" si="21"/>
        <v>0.14000000000000001</v>
      </c>
      <c r="T29" s="172">
        <f t="shared" si="22"/>
        <v>43</v>
      </c>
      <c r="U29" s="173">
        <f t="shared" si="23"/>
        <v>0.17</v>
      </c>
      <c r="V29" s="155"/>
      <c r="W29" s="174">
        <f t="shared" si="6"/>
        <v>1494.88</v>
      </c>
      <c r="X29" s="175">
        <f t="shared" si="7"/>
        <v>6241.48</v>
      </c>
      <c r="Y29" s="176">
        <f t="shared" si="8"/>
        <v>0.31</v>
      </c>
      <c r="Z29" s="176">
        <f t="shared" si="9"/>
        <v>0.21</v>
      </c>
      <c r="AA29" s="155"/>
      <c r="AB29" s="177">
        <f t="shared" si="10"/>
        <v>758.52</v>
      </c>
      <c r="AC29" s="176">
        <f t="shared" si="11"/>
        <v>0.89</v>
      </c>
      <c r="AD29" s="178">
        <f t="shared" si="12"/>
        <v>14.921361702127658</v>
      </c>
      <c r="AE29" s="178">
        <f t="shared" si="13"/>
        <v>261.92136170212768</v>
      </c>
      <c r="AF29" s="179">
        <v>13</v>
      </c>
    </row>
    <row r="30" spans="1:34" s="10" customFormat="1" ht="15" customHeight="1" x14ac:dyDescent="0.2">
      <c r="A30" s="162">
        <v>14</v>
      </c>
      <c r="B30" s="106">
        <f t="shared" si="14"/>
        <v>-1</v>
      </c>
      <c r="C30" s="163">
        <f t="shared" si="15"/>
        <v>8</v>
      </c>
      <c r="D30" s="155"/>
      <c r="E30" s="106">
        <f t="shared" si="0"/>
        <v>1</v>
      </c>
      <c r="F30" s="164">
        <f t="shared" ref="F30:G30" si="33">F29+E30</f>
        <v>27</v>
      </c>
      <c r="G30" s="165">
        <f t="shared" si="33"/>
        <v>274</v>
      </c>
      <c r="H30" s="155"/>
      <c r="I30" s="107">
        <f t="shared" si="1"/>
        <v>1.8</v>
      </c>
      <c r="J30" s="166">
        <f t="shared" si="2"/>
        <v>10.901</v>
      </c>
      <c r="K30" s="167">
        <f t="shared" si="19"/>
        <v>25</v>
      </c>
      <c r="L30" s="155"/>
      <c r="M30" s="168">
        <f t="shared" si="3"/>
        <v>2000</v>
      </c>
      <c r="N30" s="218">
        <f t="shared" si="16"/>
        <v>0.2857142857142857</v>
      </c>
      <c r="O30" s="168">
        <f t="shared" si="4"/>
        <v>250</v>
      </c>
      <c r="P30" s="169">
        <f t="shared" si="17"/>
        <v>8553.6</v>
      </c>
      <c r="Q30" s="170">
        <f t="shared" si="5"/>
        <v>1.2219428571428572</v>
      </c>
      <c r="R30" s="156">
        <f t="shared" si="20"/>
        <v>34</v>
      </c>
      <c r="S30" s="171">
        <f t="shared" si="21"/>
        <v>0.12</v>
      </c>
      <c r="T30" s="172">
        <f t="shared" si="22"/>
        <v>42</v>
      </c>
      <c r="U30" s="173">
        <f t="shared" si="23"/>
        <v>0.15</v>
      </c>
      <c r="V30" s="155"/>
      <c r="W30" s="174">
        <f t="shared" si="6"/>
        <v>2650.5</v>
      </c>
      <c r="X30" s="175">
        <f t="shared" si="7"/>
        <v>11204.1</v>
      </c>
      <c r="Y30" s="176">
        <f t="shared" si="8"/>
        <v>0.31</v>
      </c>
      <c r="Z30" s="176">
        <f t="shared" si="9"/>
        <v>0.38</v>
      </c>
      <c r="AA30" s="155"/>
      <c r="AB30" s="177">
        <f t="shared" si="10"/>
        <v>-4204.1000000000004</v>
      </c>
      <c r="AC30" s="176">
        <f t="shared" si="11"/>
        <v>1.6</v>
      </c>
      <c r="AD30" s="178">
        <f t="shared" si="12"/>
        <v>0</v>
      </c>
      <c r="AE30" s="178">
        <f t="shared" si="13"/>
        <v>0</v>
      </c>
      <c r="AF30" s="179">
        <v>14</v>
      </c>
    </row>
    <row r="31" spans="1:34" s="10" customFormat="1" ht="15" customHeight="1" x14ac:dyDescent="0.2">
      <c r="A31" s="162">
        <v>15</v>
      </c>
      <c r="B31" s="108">
        <f t="shared" si="14"/>
        <v>-1</v>
      </c>
      <c r="C31" s="180">
        <f t="shared" si="15"/>
        <v>7</v>
      </c>
      <c r="D31" s="181"/>
      <c r="E31" s="108">
        <f t="shared" si="0"/>
        <v>1</v>
      </c>
      <c r="F31" s="180">
        <f t="shared" ref="F31:G31" si="34">F30+E31</f>
        <v>28</v>
      </c>
      <c r="G31" s="180">
        <f t="shared" si="34"/>
        <v>302</v>
      </c>
      <c r="H31" s="181"/>
      <c r="I31" s="109">
        <f t="shared" si="1"/>
        <v>1.82</v>
      </c>
      <c r="J31" s="182">
        <f t="shared" si="2"/>
        <v>19.84</v>
      </c>
      <c r="K31" s="182">
        <f t="shared" si="19"/>
        <v>44.84</v>
      </c>
      <c r="L31" s="183"/>
      <c r="M31" s="184">
        <f t="shared" si="3"/>
        <v>3138.8</v>
      </c>
      <c r="N31" s="219">
        <f t="shared" si="16"/>
        <v>0.44840000000000002</v>
      </c>
      <c r="O31" s="184">
        <f t="shared" si="4"/>
        <v>448.4</v>
      </c>
      <c r="P31" s="185">
        <f t="shared" si="17"/>
        <v>15553.6</v>
      </c>
      <c r="Q31" s="186">
        <f t="shared" si="5"/>
        <v>2.221942857142857</v>
      </c>
      <c r="R31" s="187">
        <f t="shared" si="20"/>
        <v>35</v>
      </c>
      <c r="S31" s="188">
        <f t="shared" si="21"/>
        <v>0.12</v>
      </c>
      <c r="T31" s="189">
        <f t="shared" si="22"/>
        <v>42</v>
      </c>
      <c r="U31" s="188">
        <f t="shared" si="23"/>
        <v>0.14000000000000001</v>
      </c>
      <c r="V31" s="190"/>
      <c r="W31" s="191">
        <f t="shared" si="6"/>
        <v>4753.9399999999996</v>
      </c>
      <c r="X31" s="192">
        <f t="shared" si="7"/>
        <v>20307.54</v>
      </c>
      <c r="Y31" s="193">
        <f t="shared" si="8"/>
        <v>0.31</v>
      </c>
      <c r="Z31" s="193">
        <f t="shared" si="9"/>
        <v>0.68</v>
      </c>
      <c r="AA31" s="194"/>
      <c r="AB31" s="195">
        <f t="shared" si="10"/>
        <v>-13307.54</v>
      </c>
      <c r="AC31" s="193">
        <f t="shared" si="11"/>
        <v>2.9</v>
      </c>
      <c r="AD31" s="196">
        <f t="shared" si="12"/>
        <v>0</v>
      </c>
      <c r="AE31" s="196">
        <f t="shared" si="13"/>
        <v>0</v>
      </c>
      <c r="AF31" s="179">
        <v>15</v>
      </c>
    </row>
    <row r="32" spans="1:34" s="10" customFormat="1" ht="15" customHeight="1" x14ac:dyDescent="0.2">
      <c r="A32" s="162">
        <v>16</v>
      </c>
      <c r="B32" s="106">
        <f t="shared" si="14"/>
        <v>-1</v>
      </c>
      <c r="C32" s="163">
        <f t="shared" si="15"/>
        <v>6</v>
      </c>
      <c r="D32" s="155"/>
      <c r="E32" s="106">
        <f t="shared" si="0"/>
        <v>1</v>
      </c>
      <c r="F32" s="164">
        <f t="shared" ref="F32:G32" si="35">F31+E32</f>
        <v>29</v>
      </c>
      <c r="G32" s="165">
        <f t="shared" si="35"/>
        <v>331</v>
      </c>
      <c r="H32" s="155"/>
      <c r="I32" s="107">
        <f t="shared" si="1"/>
        <v>1.84</v>
      </c>
      <c r="J32" s="166">
        <f t="shared" si="2"/>
        <v>36.506</v>
      </c>
      <c r="K32" s="167">
        <f t="shared" si="19"/>
        <v>81.349999999999994</v>
      </c>
      <c r="L32" s="155"/>
      <c r="M32" s="168">
        <f t="shared" si="3"/>
        <v>4881</v>
      </c>
      <c r="N32" s="218">
        <f t="shared" si="16"/>
        <v>0.69728571428571429</v>
      </c>
      <c r="O32" s="168">
        <f t="shared" si="4"/>
        <v>813.5</v>
      </c>
      <c r="P32" s="169">
        <f t="shared" si="17"/>
        <v>28557.200000000001</v>
      </c>
      <c r="Q32" s="170">
        <f t="shared" si="5"/>
        <v>4.0796000000000001</v>
      </c>
      <c r="R32" s="156">
        <f t="shared" si="20"/>
        <v>35</v>
      </c>
      <c r="S32" s="171">
        <f t="shared" si="21"/>
        <v>0.11</v>
      </c>
      <c r="T32" s="172">
        <f t="shared" si="22"/>
        <v>41</v>
      </c>
      <c r="U32" s="173">
        <f t="shared" si="23"/>
        <v>0.12</v>
      </c>
      <c r="V32" s="155"/>
      <c r="W32" s="174">
        <f t="shared" si="6"/>
        <v>8624.73</v>
      </c>
      <c r="X32" s="175">
        <f t="shared" si="7"/>
        <v>37181.93</v>
      </c>
      <c r="Y32" s="176">
        <f t="shared" si="8"/>
        <v>0.3</v>
      </c>
      <c r="Z32" s="176">
        <f t="shared" si="9"/>
        <v>1.23</v>
      </c>
      <c r="AA32" s="155"/>
      <c r="AB32" s="177">
        <f t="shared" si="10"/>
        <v>-30181.93</v>
      </c>
      <c r="AC32" s="176">
        <f t="shared" si="11"/>
        <v>5.31</v>
      </c>
      <c r="AD32" s="178">
        <f t="shared" si="12"/>
        <v>0</v>
      </c>
      <c r="AE32" s="178">
        <f t="shared" si="13"/>
        <v>0</v>
      </c>
      <c r="AF32" s="179">
        <v>16</v>
      </c>
    </row>
    <row r="33" spans="1:32" s="10" customFormat="1" ht="15" customHeight="1" x14ac:dyDescent="0.2">
      <c r="A33" s="162">
        <v>17</v>
      </c>
      <c r="B33" s="106">
        <f t="shared" si="14"/>
        <v>-1</v>
      </c>
      <c r="C33" s="163">
        <f t="shared" si="15"/>
        <v>5</v>
      </c>
      <c r="D33" s="155"/>
      <c r="E33" s="106">
        <f t="shared" si="0"/>
        <v>1</v>
      </c>
      <c r="F33" s="164">
        <f t="shared" ref="F33:G33" si="36">F32+E33</f>
        <v>30</v>
      </c>
      <c r="G33" s="165">
        <f t="shared" si="36"/>
        <v>361</v>
      </c>
      <c r="H33" s="155"/>
      <c r="I33" s="107">
        <f t="shared" si="1"/>
        <v>1.86</v>
      </c>
      <c r="J33" s="166">
        <f t="shared" si="2"/>
        <v>67.900999999999996</v>
      </c>
      <c r="K33" s="167">
        <f t="shared" si="19"/>
        <v>149.25</v>
      </c>
      <c r="L33" s="155"/>
      <c r="M33" s="168">
        <f t="shared" si="3"/>
        <v>7462.5</v>
      </c>
      <c r="N33" s="218">
        <f t="shared" si="16"/>
        <v>1.0660714285714286</v>
      </c>
      <c r="O33" s="168">
        <f t="shared" si="4"/>
        <v>1492.5</v>
      </c>
      <c r="P33" s="169">
        <f t="shared" si="17"/>
        <v>52962.2</v>
      </c>
      <c r="Q33" s="170">
        <f t="shared" si="5"/>
        <v>7.5660285714285713</v>
      </c>
      <c r="R33" s="156">
        <f t="shared" si="20"/>
        <v>35</v>
      </c>
      <c r="S33" s="171">
        <f t="shared" si="21"/>
        <v>0.1</v>
      </c>
      <c r="T33" s="172">
        <f t="shared" si="22"/>
        <v>40</v>
      </c>
      <c r="U33" s="173">
        <f t="shared" si="23"/>
        <v>0.11</v>
      </c>
      <c r="V33" s="155"/>
      <c r="W33" s="174">
        <f t="shared" si="6"/>
        <v>15823.49</v>
      </c>
      <c r="X33" s="175">
        <f t="shared" si="7"/>
        <v>68785.69</v>
      </c>
      <c r="Y33" s="176">
        <f t="shared" si="8"/>
        <v>0.3</v>
      </c>
      <c r="Z33" s="176">
        <f t="shared" si="9"/>
        <v>2.2599999999999998</v>
      </c>
      <c r="AA33" s="155"/>
      <c r="AB33" s="177">
        <f t="shared" si="10"/>
        <v>-61785.69</v>
      </c>
      <c r="AC33" s="176">
        <f t="shared" si="11"/>
        <v>9.83</v>
      </c>
      <c r="AD33" s="178">
        <f t="shared" si="12"/>
        <v>0</v>
      </c>
      <c r="AE33" s="178">
        <f t="shared" si="13"/>
        <v>0</v>
      </c>
      <c r="AF33" s="179">
        <v>17</v>
      </c>
    </row>
    <row r="34" spans="1:32" s="10" customFormat="1" ht="15" customHeight="1" x14ac:dyDescent="0.2">
      <c r="A34" s="162">
        <v>18</v>
      </c>
      <c r="B34" s="106">
        <f t="shared" si="14"/>
        <v>-1</v>
      </c>
      <c r="C34" s="163">
        <f t="shared" si="15"/>
        <v>4</v>
      </c>
      <c r="D34" s="155"/>
      <c r="E34" s="106">
        <f t="shared" si="0"/>
        <v>1</v>
      </c>
      <c r="F34" s="164">
        <f t="shared" ref="F34:G34" si="37">F33+E34</f>
        <v>31</v>
      </c>
      <c r="G34" s="165">
        <f t="shared" si="37"/>
        <v>392</v>
      </c>
      <c r="H34" s="155"/>
      <c r="I34" s="107">
        <f t="shared" si="1"/>
        <v>1.88</v>
      </c>
      <c r="J34" s="166">
        <f t="shared" si="2"/>
        <v>127.654</v>
      </c>
      <c r="K34" s="167">
        <f t="shared" si="19"/>
        <v>276.89999999999998</v>
      </c>
      <c r="L34" s="155"/>
      <c r="M34" s="168">
        <f t="shared" si="3"/>
        <v>11076</v>
      </c>
      <c r="N34" s="218">
        <f t="shared" si="16"/>
        <v>1.5822857142857143</v>
      </c>
      <c r="O34" s="168">
        <f t="shared" si="4"/>
        <v>2769</v>
      </c>
      <c r="P34" s="169">
        <f t="shared" si="17"/>
        <v>99229.7</v>
      </c>
      <c r="Q34" s="170">
        <f t="shared" si="5"/>
        <v>14.175671428571428</v>
      </c>
      <c r="R34" s="156">
        <f t="shared" si="20"/>
        <v>36</v>
      </c>
      <c r="S34" s="171">
        <f t="shared" si="21"/>
        <v>0.09</v>
      </c>
      <c r="T34" s="172">
        <f t="shared" si="22"/>
        <v>40</v>
      </c>
      <c r="U34" s="173">
        <f t="shared" si="23"/>
        <v>0.1</v>
      </c>
      <c r="V34" s="155"/>
      <c r="W34" s="174">
        <f t="shared" si="6"/>
        <v>29356.94</v>
      </c>
      <c r="X34" s="175">
        <f t="shared" si="7"/>
        <v>128586.64</v>
      </c>
      <c r="Y34" s="176">
        <f t="shared" si="8"/>
        <v>0.3</v>
      </c>
      <c r="Z34" s="176">
        <f t="shared" si="9"/>
        <v>4.1900000000000004</v>
      </c>
      <c r="AA34" s="155"/>
      <c r="AB34" s="177">
        <f t="shared" si="10"/>
        <v>-121586.64</v>
      </c>
      <c r="AC34" s="176">
        <f t="shared" si="11"/>
        <v>18.37</v>
      </c>
      <c r="AD34" s="178">
        <f t="shared" si="12"/>
        <v>0</v>
      </c>
      <c r="AE34" s="178">
        <f t="shared" si="13"/>
        <v>0</v>
      </c>
      <c r="AF34" s="179">
        <v>18</v>
      </c>
    </row>
    <row r="35" spans="1:32" s="10" customFormat="1" ht="15" customHeight="1" x14ac:dyDescent="0.2">
      <c r="A35" s="162">
        <v>19</v>
      </c>
      <c r="B35" s="106">
        <f t="shared" si="14"/>
        <v>-1</v>
      </c>
      <c r="C35" s="163">
        <f t="shared" si="15"/>
        <v>3</v>
      </c>
      <c r="D35" s="155"/>
      <c r="E35" s="106">
        <f t="shared" si="0"/>
        <v>1</v>
      </c>
      <c r="F35" s="164">
        <f t="shared" ref="F35:G35" si="38">F34+E35</f>
        <v>32</v>
      </c>
      <c r="G35" s="165">
        <f t="shared" si="38"/>
        <v>424</v>
      </c>
      <c r="H35" s="155"/>
      <c r="I35" s="107">
        <f t="shared" si="1"/>
        <v>1.9</v>
      </c>
      <c r="J35" s="166">
        <f t="shared" si="2"/>
        <v>242.54300000000001</v>
      </c>
      <c r="K35" s="167">
        <f t="shared" si="19"/>
        <v>519.43999999999994</v>
      </c>
      <c r="L35" s="155"/>
      <c r="M35" s="168">
        <f t="shared" si="3"/>
        <v>15583.2</v>
      </c>
      <c r="N35" s="218">
        <f t="shared" si="16"/>
        <v>2.2261714285714285</v>
      </c>
      <c r="O35" s="168">
        <f t="shared" si="4"/>
        <v>5194.3999999999996</v>
      </c>
      <c r="P35" s="169">
        <f t="shared" si="17"/>
        <v>187837.7</v>
      </c>
      <c r="Q35" s="170">
        <f t="shared" si="5"/>
        <v>26.833957142857145</v>
      </c>
      <c r="R35" s="156">
        <f t="shared" si="20"/>
        <v>36</v>
      </c>
      <c r="S35" s="171">
        <f t="shared" si="21"/>
        <v>0.08</v>
      </c>
      <c r="T35" s="172">
        <f t="shared" si="22"/>
        <v>39</v>
      </c>
      <c r="U35" s="173">
        <f t="shared" si="23"/>
        <v>0.09</v>
      </c>
      <c r="V35" s="155"/>
      <c r="W35" s="174">
        <f t="shared" si="6"/>
        <v>55071.03</v>
      </c>
      <c r="X35" s="175">
        <f t="shared" si="7"/>
        <v>242908.73</v>
      </c>
      <c r="Y35" s="176">
        <f t="shared" si="8"/>
        <v>0.28999999999999998</v>
      </c>
      <c r="Z35" s="176">
        <f t="shared" si="9"/>
        <v>7.87</v>
      </c>
      <c r="AA35" s="155"/>
      <c r="AB35" s="177">
        <f t="shared" si="10"/>
        <v>-235908.73</v>
      </c>
      <c r="AC35" s="176">
        <f t="shared" si="11"/>
        <v>34.700000000000003</v>
      </c>
      <c r="AD35" s="178">
        <f t="shared" si="12"/>
        <v>0</v>
      </c>
      <c r="AE35" s="178">
        <f t="shared" si="13"/>
        <v>0</v>
      </c>
      <c r="AF35" s="179">
        <v>19</v>
      </c>
    </row>
    <row r="36" spans="1:32" s="10" customFormat="1" ht="15" customHeight="1" x14ac:dyDescent="0.2">
      <c r="A36" s="162">
        <v>20</v>
      </c>
      <c r="B36" s="108">
        <f t="shared" si="14"/>
        <v>-1</v>
      </c>
      <c r="C36" s="180">
        <f t="shared" si="15"/>
        <v>2</v>
      </c>
      <c r="D36" s="181"/>
      <c r="E36" s="108">
        <f t="shared" si="0"/>
        <v>1</v>
      </c>
      <c r="F36" s="180">
        <f t="shared" ref="F36:G36" si="39">F35+E36</f>
        <v>33</v>
      </c>
      <c r="G36" s="180">
        <f t="shared" si="39"/>
        <v>457</v>
      </c>
      <c r="H36" s="181"/>
      <c r="I36" s="109">
        <f t="shared" si="1"/>
        <v>1.92</v>
      </c>
      <c r="J36" s="182">
        <f t="shared" si="2"/>
        <v>465.68299999999999</v>
      </c>
      <c r="K36" s="182">
        <f t="shared" si="19"/>
        <v>985.11999999999989</v>
      </c>
      <c r="L36" s="183"/>
      <c r="M36" s="184">
        <f t="shared" si="3"/>
        <v>19702.400000000001</v>
      </c>
      <c r="N36" s="219">
        <f t="shared" si="16"/>
        <v>2.8146285714285715</v>
      </c>
      <c r="O36" s="184">
        <f t="shared" si="4"/>
        <v>9851.2000000000007</v>
      </c>
      <c r="P36" s="185">
        <f t="shared" si="17"/>
        <v>359252.9</v>
      </c>
      <c r="Q36" s="186">
        <f t="shared" si="5"/>
        <v>51.321842857142862</v>
      </c>
      <c r="R36" s="187">
        <f t="shared" si="20"/>
        <v>36</v>
      </c>
      <c r="S36" s="188">
        <f t="shared" si="21"/>
        <v>0.08</v>
      </c>
      <c r="T36" s="189">
        <f t="shared" si="22"/>
        <v>38</v>
      </c>
      <c r="U36" s="188">
        <f t="shared" si="23"/>
        <v>0.08</v>
      </c>
      <c r="V36" s="190"/>
      <c r="W36" s="191">
        <f t="shared" si="6"/>
        <v>104442.42</v>
      </c>
      <c r="X36" s="192">
        <f t="shared" si="7"/>
        <v>463695.32</v>
      </c>
      <c r="Y36" s="193">
        <f t="shared" si="8"/>
        <v>0.28999999999999998</v>
      </c>
      <c r="Z36" s="193">
        <f t="shared" si="9"/>
        <v>14.92</v>
      </c>
      <c r="AA36" s="194"/>
      <c r="AB36" s="195">
        <f t="shared" si="10"/>
        <v>-456695.32</v>
      </c>
      <c r="AC36" s="193">
        <f t="shared" si="11"/>
        <v>66.239999999999995</v>
      </c>
      <c r="AD36" s="196">
        <f t="shared" si="12"/>
        <v>0</v>
      </c>
      <c r="AE36" s="196">
        <f t="shared" si="13"/>
        <v>0</v>
      </c>
      <c r="AF36" s="179">
        <v>20</v>
      </c>
    </row>
    <row r="37" spans="1:32" s="10" customFormat="1" ht="15" customHeight="1" x14ac:dyDescent="0.2">
      <c r="A37" s="162">
        <v>21</v>
      </c>
      <c r="B37" s="106">
        <f t="shared" si="14"/>
        <v>-1</v>
      </c>
      <c r="C37" s="163">
        <f t="shared" si="15"/>
        <v>1</v>
      </c>
      <c r="D37" s="155"/>
      <c r="E37" s="106">
        <f t="shared" si="0"/>
        <v>1</v>
      </c>
      <c r="F37" s="164">
        <f t="shared" ref="F37:G37" si="40">F36+E37</f>
        <v>34</v>
      </c>
      <c r="G37" s="165">
        <f t="shared" si="40"/>
        <v>491</v>
      </c>
      <c r="H37" s="155"/>
      <c r="I37" s="107">
        <f t="shared" si="1"/>
        <v>1.94</v>
      </c>
      <c r="J37" s="166">
        <f t="shared" si="2"/>
        <v>903.42499999999995</v>
      </c>
      <c r="K37" s="167">
        <f t="shared" si="19"/>
        <v>1888.5499999999997</v>
      </c>
      <c r="L37" s="155"/>
      <c r="M37" s="168">
        <f t="shared" si="3"/>
        <v>18885.5</v>
      </c>
      <c r="N37" s="218">
        <f t="shared" si="16"/>
        <v>2.6979285714285712</v>
      </c>
      <c r="O37" s="168">
        <f t="shared" si="4"/>
        <v>18885.5</v>
      </c>
      <c r="P37" s="169">
        <f t="shared" si="17"/>
        <v>694193.7</v>
      </c>
      <c r="Q37" s="170">
        <f t="shared" si="5"/>
        <v>99.170528571428562</v>
      </c>
      <c r="R37" s="156">
        <f t="shared" si="20"/>
        <v>37</v>
      </c>
      <c r="S37" s="171">
        <f t="shared" si="21"/>
        <v>0.08</v>
      </c>
      <c r="T37" s="172">
        <f t="shared" si="22"/>
        <v>38</v>
      </c>
      <c r="U37" s="173">
        <f t="shared" si="23"/>
        <v>0.08</v>
      </c>
      <c r="V37" s="155"/>
      <c r="W37" s="174">
        <f t="shared" si="6"/>
        <v>200224.07</v>
      </c>
      <c r="X37" s="175">
        <f t="shared" si="7"/>
        <v>894417.77</v>
      </c>
      <c r="Y37" s="176">
        <f t="shared" si="8"/>
        <v>0.28999999999999998</v>
      </c>
      <c r="Z37" s="176">
        <f t="shared" si="9"/>
        <v>28.6</v>
      </c>
      <c r="AA37" s="155"/>
      <c r="AB37" s="177">
        <f t="shared" si="10"/>
        <v>-887417.77</v>
      </c>
      <c r="AC37" s="176">
        <f t="shared" si="11"/>
        <v>127.77</v>
      </c>
      <c r="AD37" s="178">
        <f t="shared" si="12"/>
        <v>0</v>
      </c>
      <c r="AE37" s="178">
        <f t="shared" si="13"/>
        <v>0</v>
      </c>
      <c r="AF37" s="179">
        <v>21</v>
      </c>
    </row>
    <row r="38" spans="1:32" s="10" customFormat="1" ht="15" customHeight="1" x14ac:dyDescent="0.2">
      <c r="A38" s="162">
        <v>22</v>
      </c>
      <c r="B38" s="106">
        <f t="shared" si="14"/>
        <v>-1</v>
      </c>
      <c r="C38" s="163">
        <f t="shared" si="15"/>
        <v>0</v>
      </c>
      <c r="D38" s="155"/>
      <c r="E38" s="106">
        <f t="shared" si="0"/>
        <v>1</v>
      </c>
      <c r="F38" s="164">
        <f t="shared" ref="F38:G38" si="41">F37+E38</f>
        <v>35</v>
      </c>
      <c r="G38" s="165">
        <f t="shared" si="41"/>
        <v>526</v>
      </c>
      <c r="H38" s="155"/>
      <c r="I38" s="107">
        <f t="shared" si="1"/>
        <v>1.96</v>
      </c>
      <c r="J38" s="166">
        <f t="shared" si="2"/>
        <v>1770.713</v>
      </c>
      <c r="K38" s="167">
        <f t="shared" si="19"/>
        <v>3659.2599999999998</v>
      </c>
      <c r="L38" s="155"/>
      <c r="M38" s="168">
        <f t="shared" si="3"/>
        <v>0</v>
      </c>
      <c r="N38" s="218">
        <f t="shared" si="16"/>
        <v>0</v>
      </c>
      <c r="O38" s="168">
        <f t="shared" si="4"/>
        <v>36592.6</v>
      </c>
      <c r="P38" s="169">
        <f t="shared" si="17"/>
        <v>1355186.2</v>
      </c>
      <c r="Q38" s="170">
        <f t="shared" si="5"/>
        <v>193.59802857142856</v>
      </c>
      <c r="R38" s="156">
        <f t="shared" si="20"/>
        <v>37</v>
      </c>
      <c r="S38" s="171">
        <f t="shared" si="21"/>
        <v>7.0000000000000007E-2</v>
      </c>
      <c r="T38" s="172">
        <f t="shared" si="22"/>
        <v>37</v>
      </c>
      <c r="U38" s="173">
        <f t="shared" si="23"/>
        <v>7.0000000000000007E-2</v>
      </c>
      <c r="V38" s="155"/>
      <c r="W38" s="174">
        <f t="shared" si="6"/>
        <v>387954.75</v>
      </c>
      <c r="X38" s="175">
        <f t="shared" si="7"/>
        <v>1743140.95</v>
      </c>
      <c r="Y38" s="176">
        <f t="shared" si="8"/>
        <v>0.28999999999999998</v>
      </c>
      <c r="Z38" s="176">
        <f t="shared" si="9"/>
        <v>55.42</v>
      </c>
      <c r="AA38" s="155"/>
      <c r="AB38" s="177">
        <f t="shared" si="10"/>
        <v>-1736140.95</v>
      </c>
      <c r="AC38" s="176">
        <f t="shared" si="11"/>
        <v>249.02</v>
      </c>
      <c r="AD38" s="178">
        <f t="shared" si="12"/>
        <v>0</v>
      </c>
      <c r="AE38" s="178">
        <f t="shared" si="13"/>
        <v>0</v>
      </c>
      <c r="AF38" s="179">
        <v>22</v>
      </c>
    </row>
    <row r="39" spans="1:32" s="10" customFormat="1" ht="15" customHeight="1" x14ac:dyDescent="0.2">
      <c r="A39" s="162">
        <v>23</v>
      </c>
      <c r="B39" s="106">
        <f t="shared" si="14"/>
        <v>-1</v>
      </c>
      <c r="C39" s="163">
        <f t="shared" si="15"/>
        <v>-1</v>
      </c>
      <c r="D39" s="155"/>
      <c r="E39" s="106">
        <f t="shared" si="0"/>
        <v>1</v>
      </c>
      <c r="F39" s="164">
        <f t="shared" ref="F39:G39" si="42">F38+E39</f>
        <v>36</v>
      </c>
      <c r="G39" s="165">
        <f t="shared" si="42"/>
        <v>562</v>
      </c>
      <c r="H39" s="155"/>
      <c r="I39" s="107">
        <f t="shared" si="1"/>
        <v>1.98</v>
      </c>
      <c r="J39" s="166">
        <f t="shared" si="2"/>
        <v>3506.0120000000002</v>
      </c>
      <c r="K39" s="167">
        <f t="shared" si="19"/>
        <v>7165.27</v>
      </c>
      <c r="L39" s="155"/>
      <c r="M39" s="168">
        <f t="shared" si="3"/>
        <v>-71652.7</v>
      </c>
      <c r="N39" s="218">
        <f t="shared" si="16"/>
        <v>-10.2361</v>
      </c>
      <c r="O39" s="168">
        <f t="shared" si="4"/>
        <v>71652.7</v>
      </c>
      <c r="P39" s="169">
        <f t="shared" si="17"/>
        <v>2672519.7999999998</v>
      </c>
      <c r="Q39" s="170">
        <f t="shared" si="5"/>
        <v>381.78854285714283</v>
      </c>
      <c r="R39" s="156">
        <f t="shared" si="20"/>
        <v>37</v>
      </c>
      <c r="S39" s="171">
        <f t="shared" si="21"/>
        <v>7.0000000000000007E-2</v>
      </c>
      <c r="T39" s="172">
        <f t="shared" si="22"/>
        <v>36</v>
      </c>
      <c r="U39" s="173">
        <f t="shared" si="23"/>
        <v>0.06</v>
      </c>
      <c r="V39" s="155"/>
      <c r="W39" s="174">
        <f t="shared" si="6"/>
        <v>759661.93</v>
      </c>
      <c r="X39" s="175">
        <f t="shared" si="7"/>
        <v>3432181.73</v>
      </c>
      <c r="Y39" s="176">
        <f t="shared" si="8"/>
        <v>0.28000000000000003</v>
      </c>
      <c r="Z39" s="176">
        <f t="shared" si="9"/>
        <v>108.52</v>
      </c>
      <c r="AA39" s="155"/>
      <c r="AB39" s="177">
        <f t="shared" si="10"/>
        <v>-3425181.73</v>
      </c>
      <c r="AC39" s="176">
        <f t="shared" si="11"/>
        <v>490.31</v>
      </c>
      <c r="AD39" s="178">
        <f t="shared" si="12"/>
        <v>0</v>
      </c>
      <c r="AE39" s="178">
        <f t="shared" si="13"/>
        <v>0</v>
      </c>
      <c r="AF39" s="179">
        <v>23</v>
      </c>
    </row>
    <row r="40" spans="1:32" s="10" customFormat="1" ht="15" customHeight="1" x14ac:dyDescent="0.2">
      <c r="A40" s="162">
        <v>24</v>
      </c>
      <c r="B40" s="106">
        <f t="shared" si="14"/>
        <v>-1</v>
      </c>
      <c r="C40" s="163">
        <f t="shared" si="15"/>
        <v>-2</v>
      </c>
      <c r="D40" s="155"/>
      <c r="E40" s="106">
        <f t="shared" si="0"/>
        <v>1</v>
      </c>
      <c r="F40" s="164">
        <f t="shared" ref="F40:G40" si="43">F39+E40</f>
        <v>37</v>
      </c>
      <c r="G40" s="165">
        <f t="shared" si="43"/>
        <v>599</v>
      </c>
      <c r="H40" s="155"/>
      <c r="I40" s="107">
        <f t="shared" si="1"/>
        <v>2</v>
      </c>
      <c r="J40" s="166">
        <f t="shared" si="2"/>
        <v>7012.0240000000003</v>
      </c>
      <c r="K40" s="167">
        <f t="shared" si="19"/>
        <v>14177.29</v>
      </c>
      <c r="L40" s="155"/>
      <c r="M40" s="168">
        <f t="shared" si="3"/>
        <v>-283545.8</v>
      </c>
      <c r="N40" s="218">
        <f t="shared" si="16"/>
        <v>-40.506542857142854</v>
      </c>
      <c r="O40" s="168">
        <f t="shared" si="4"/>
        <v>141772.9</v>
      </c>
      <c r="P40" s="169">
        <f t="shared" si="17"/>
        <v>5323669.7</v>
      </c>
      <c r="Q40" s="170">
        <f t="shared" si="5"/>
        <v>760.52424285714289</v>
      </c>
      <c r="R40" s="156">
        <f t="shared" si="20"/>
        <v>38</v>
      </c>
      <c r="S40" s="171">
        <f t="shared" si="21"/>
        <v>0.06</v>
      </c>
      <c r="T40" s="172">
        <f t="shared" si="22"/>
        <v>36</v>
      </c>
      <c r="U40" s="173">
        <f t="shared" si="23"/>
        <v>0.06</v>
      </c>
      <c r="V40" s="155"/>
      <c r="W40" s="174">
        <f t="shared" si="6"/>
        <v>1503076.29</v>
      </c>
      <c r="X40" s="175">
        <f t="shared" si="7"/>
        <v>6826745.9900000002</v>
      </c>
      <c r="Y40" s="176">
        <f t="shared" si="8"/>
        <v>0.28000000000000003</v>
      </c>
      <c r="Z40" s="176">
        <f t="shared" si="9"/>
        <v>214.73</v>
      </c>
      <c r="AA40" s="155"/>
      <c r="AB40" s="177">
        <f t="shared" si="10"/>
        <v>-6819745.9900000002</v>
      </c>
      <c r="AC40" s="176">
        <f t="shared" si="11"/>
        <v>975.25</v>
      </c>
      <c r="AD40" s="178">
        <f t="shared" si="12"/>
        <v>0</v>
      </c>
      <c r="AE40" s="178">
        <f t="shared" si="13"/>
        <v>0</v>
      </c>
      <c r="AF40" s="179">
        <v>24</v>
      </c>
    </row>
    <row r="41" spans="1:32" s="10" customFormat="1" ht="15" customHeight="1" x14ac:dyDescent="0.2">
      <c r="A41" s="162">
        <v>25</v>
      </c>
      <c r="B41" s="108">
        <f t="shared" si="14"/>
        <v>-1</v>
      </c>
      <c r="C41" s="180">
        <f t="shared" si="15"/>
        <v>-3</v>
      </c>
      <c r="D41" s="181"/>
      <c r="E41" s="108">
        <f t="shared" si="0"/>
        <v>1</v>
      </c>
      <c r="F41" s="180">
        <f t="shared" ref="F41:G41" si="44">F40+E41</f>
        <v>38</v>
      </c>
      <c r="G41" s="180">
        <f t="shared" si="44"/>
        <v>637</v>
      </c>
      <c r="H41" s="181"/>
      <c r="I41" s="109">
        <f t="shared" si="1"/>
        <v>2.02</v>
      </c>
      <c r="J41" s="182">
        <f t="shared" si="2"/>
        <v>14164.288</v>
      </c>
      <c r="K41" s="182">
        <f t="shared" si="19"/>
        <v>28341.58</v>
      </c>
      <c r="L41" s="183"/>
      <c r="M41" s="184">
        <f t="shared" si="3"/>
        <v>-850247.4</v>
      </c>
      <c r="N41" s="219">
        <f t="shared" si="16"/>
        <v>-121.4639142857143</v>
      </c>
      <c r="O41" s="184">
        <f t="shared" si="4"/>
        <v>283415.8</v>
      </c>
      <c r="P41" s="185">
        <f t="shared" si="17"/>
        <v>10711039.9</v>
      </c>
      <c r="Q41" s="186">
        <f t="shared" si="5"/>
        <v>1530.1485571428573</v>
      </c>
      <c r="R41" s="187">
        <f t="shared" si="20"/>
        <v>38</v>
      </c>
      <c r="S41" s="188">
        <f t="shared" si="21"/>
        <v>0.06</v>
      </c>
      <c r="T41" s="189">
        <f t="shared" si="22"/>
        <v>35</v>
      </c>
      <c r="U41" s="188">
        <f t="shared" si="23"/>
        <v>0.05</v>
      </c>
      <c r="V41" s="190"/>
      <c r="W41" s="191">
        <f t="shared" si="6"/>
        <v>3004774.31</v>
      </c>
      <c r="X41" s="192">
        <f t="shared" si="7"/>
        <v>13715814.210000001</v>
      </c>
      <c r="Y41" s="193">
        <f t="shared" si="8"/>
        <v>0.28000000000000003</v>
      </c>
      <c r="Z41" s="193">
        <f t="shared" si="9"/>
        <v>429.25</v>
      </c>
      <c r="AA41" s="194"/>
      <c r="AB41" s="195">
        <f t="shared" si="10"/>
        <v>-13708814.210000001</v>
      </c>
      <c r="AC41" s="193">
        <f t="shared" si="11"/>
        <v>1959.4</v>
      </c>
      <c r="AD41" s="196">
        <f t="shared" si="12"/>
        <v>0</v>
      </c>
      <c r="AE41" s="196">
        <f t="shared" si="13"/>
        <v>0</v>
      </c>
      <c r="AF41" s="179">
        <v>25</v>
      </c>
    </row>
    <row r="42" spans="1:32" s="10" customFormat="1" ht="15" customHeight="1" x14ac:dyDescent="0.2">
      <c r="A42" s="162">
        <v>26</v>
      </c>
      <c r="B42" s="106">
        <f t="shared" si="14"/>
        <v>-1</v>
      </c>
      <c r="C42" s="163">
        <f t="shared" si="15"/>
        <v>-4</v>
      </c>
      <c r="D42" s="155"/>
      <c r="E42" s="106">
        <f t="shared" si="0"/>
        <v>1</v>
      </c>
      <c r="F42" s="164">
        <f t="shared" ref="F42:G42" si="45">F41+E42</f>
        <v>39</v>
      </c>
      <c r="G42" s="165">
        <f t="shared" si="45"/>
        <v>676</v>
      </c>
      <c r="H42" s="155"/>
      <c r="I42" s="107">
        <f t="shared" si="1"/>
        <v>2.04</v>
      </c>
      <c r="J42" s="166">
        <f t="shared" si="2"/>
        <v>28895.148000000001</v>
      </c>
      <c r="K42" s="167">
        <f t="shared" si="19"/>
        <v>57236.73</v>
      </c>
      <c r="L42" s="155"/>
      <c r="M42" s="168">
        <f t="shared" si="3"/>
        <v>-2289469.2000000002</v>
      </c>
      <c r="N42" s="218">
        <f t="shared" si="16"/>
        <v>-327.06702857142858</v>
      </c>
      <c r="O42" s="168">
        <f t="shared" si="4"/>
        <v>572367.30000000005</v>
      </c>
      <c r="P42" s="169">
        <f t="shared" si="17"/>
        <v>21764256.100000001</v>
      </c>
      <c r="Q42" s="170">
        <f t="shared" si="5"/>
        <v>3109.1794428571429</v>
      </c>
      <c r="R42" s="156">
        <f t="shared" si="20"/>
        <v>38</v>
      </c>
      <c r="S42" s="171">
        <f t="shared" si="21"/>
        <v>0.06</v>
      </c>
      <c r="T42" s="172">
        <f t="shared" si="22"/>
        <v>34</v>
      </c>
      <c r="U42" s="173">
        <f t="shared" si="23"/>
        <v>0.05</v>
      </c>
      <c r="V42" s="155"/>
      <c r="W42" s="174">
        <f t="shared" si="6"/>
        <v>6068238.1100000003</v>
      </c>
      <c r="X42" s="175">
        <f t="shared" si="7"/>
        <v>27832494.210000001</v>
      </c>
      <c r="Y42" s="176">
        <f t="shared" si="8"/>
        <v>0.28000000000000003</v>
      </c>
      <c r="Z42" s="176">
        <f t="shared" si="9"/>
        <v>866.89</v>
      </c>
      <c r="AA42" s="155"/>
      <c r="AB42" s="177">
        <f t="shared" si="10"/>
        <v>-27825494.210000001</v>
      </c>
      <c r="AC42" s="176">
        <f t="shared" si="11"/>
        <v>3976.07</v>
      </c>
      <c r="AD42" s="178">
        <f t="shared" si="12"/>
        <v>0</v>
      </c>
      <c r="AE42" s="178">
        <f t="shared" si="13"/>
        <v>0</v>
      </c>
      <c r="AF42" s="179">
        <v>26</v>
      </c>
    </row>
    <row r="43" spans="1:32" s="10" customFormat="1" ht="15" customHeight="1" x14ac:dyDescent="0.2">
      <c r="A43" s="162">
        <v>27</v>
      </c>
      <c r="B43" s="106">
        <f t="shared" si="14"/>
        <v>-1</v>
      </c>
      <c r="C43" s="163">
        <f t="shared" si="15"/>
        <v>-5</v>
      </c>
      <c r="D43" s="155"/>
      <c r="E43" s="106">
        <f t="shared" si="0"/>
        <v>1</v>
      </c>
      <c r="F43" s="164">
        <f t="shared" ref="F43:G43" si="46">F42+E43</f>
        <v>40</v>
      </c>
      <c r="G43" s="165">
        <f t="shared" si="46"/>
        <v>716</v>
      </c>
      <c r="H43" s="155"/>
      <c r="I43" s="107">
        <f t="shared" si="1"/>
        <v>2.06</v>
      </c>
      <c r="J43" s="166">
        <f t="shared" si="2"/>
        <v>59524.004999999997</v>
      </c>
      <c r="K43" s="167">
        <f t="shared" si="19"/>
        <v>116760.74</v>
      </c>
      <c r="L43" s="155"/>
      <c r="M43" s="168">
        <f t="shared" si="3"/>
        <v>-5838037</v>
      </c>
      <c r="N43" s="218">
        <f t="shared" si="16"/>
        <v>-834.00528571428572</v>
      </c>
      <c r="O43" s="168">
        <f t="shared" si="4"/>
        <v>1167607.3999999999</v>
      </c>
      <c r="P43" s="169">
        <f t="shared" si="17"/>
        <v>44658948.100000001</v>
      </c>
      <c r="Q43" s="170">
        <f t="shared" si="5"/>
        <v>6379.8497285714284</v>
      </c>
      <c r="R43" s="156">
        <f t="shared" si="20"/>
        <v>38</v>
      </c>
      <c r="S43" s="171">
        <f t="shared" si="21"/>
        <v>0.05</v>
      </c>
      <c r="T43" s="172">
        <f t="shared" si="22"/>
        <v>33</v>
      </c>
      <c r="U43" s="173">
        <f t="shared" si="23"/>
        <v>0.05</v>
      </c>
      <c r="V43" s="155"/>
      <c r="W43" s="174">
        <f t="shared" si="6"/>
        <v>12378973.65</v>
      </c>
      <c r="X43" s="175">
        <f t="shared" si="7"/>
        <v>57037921.75</v>
      </c>
      <c r="Y43" s="176">
        <f t="shared" si="8"/>
        <v>0.28000000000000003</v>
      </c>
      <c r="Z43" s="176">
        <f t="shared" si="9"/>
        <v>1768.42</v>
      </c>
      <c r="AA43" s="155"/>
      <c r="AB43" s="177">
        <f t="shared" si="10"/>
        <v>-57030921.75</v>
      </c>
      <c r="AC43" s="176">
        <f t="shared" si="11"/>
        <v>8148.27</v>
      </c>
      <c r="AD43" s="178">
        <f t="shared" si="12"/>
        <v>0</v>
      </c>
      <c r="AE43" s="178">
        <f t="shared" si="13"/>
        <v>0</v>
      </c>
      <c r="AF43" s="179">
        <v>27</v>
      </c>
    </row>
    <row r="44" spans="1:32" s="10" customFormat="1" ht="15" customHeight="1" x14ac:dyDescent="0.2">
      <c r="A44" s="162">
        <v>28</v>
      </c>
      <c r="B44" s="106">
        <f t="shared" si="14"/>
        <v>-1</v>
      </c>
      <c r="C44" s="163">
        <f t="shared" si="15"/>
        <v>-6</v>
      </c>
      <c r="D44" s="155"/>
      <c r="E44" s="106">
        <f t="shared" si="0"/>
        <v>1</v>
      </c>
      <c r="F44" s="164">
        <f t="shared" ref="F44:G44" si="47">F43+E44</f>
        <v>41</v>
      </c>
      <c r="G44" s="165">
        <f t="shared" si="47"/>
        <v>757</v>
      </c>
      <c r="H44" s="155"/>
      <c r="I44" s="107">
        <f t="shared" si="1"/>
        <v>2.08</v>
      </c>
      <c r="J44" s="166">
        <f t="shared" si="2"/>
        <v>123809.93</v>
      </c>
      <c r="K44" s="167">
        <f t="shared" si="19"/>
        <v>240570.66999999998</v>
      </c>
      <c r="L44" s="155"/>
      <c r="M44" s="168">
        <f t="shared" si="3"/>
        <v>-14434240.199999999</v>
      </c>
      <c r="N44" s="218">
        <f t="shared" si="16"/>
        <v>-2062.0343142857141</v>
      </c>
      <c r="O44" s="168">
        <f t="shared" si="4"/>
        <v>2405706.7000000002</v>
      </c>
      <c r="P44" s="169">
        <f t="shared" si="17"/>
        <v>92530851.5</v>
      </c>
      <c r="Q44" s="170">
        <f t="shared" si="5"/>
        <v>13218.693071428572</v>
      </c>
      <c r="R44" s="156">
        <f t="shared" si="20"/>
        <v>38</v>
      </c>
      <c r="S44" s="171">
        <f t="shared" si="21"/>
        <v>0.05</v>
      </c>
      <c r="T44" s="172">
        <f t="shared" si="22"/>
        <v>32</v>
      </c>
      <c r="U44" s="173">
        <f t="shared" si="23"/>
        <v>0.04</v>
      </c>
      <c r="V44" s="155"/>
      <c r="W44" s="174">
        <f t="shared" si="6"/>
        <v>25505302.43</v>
      </c>
      <c r="X44" s="175">
        <f t="shared" si="7"/>
        <v>118036153.93000001</v>
      </c>
      <c r="Y44" s="176">
        <f t="shared" si="8"/>
        <v>0.28000000000000003</v>
      </c>
      <c r="Z44" s="176">
        <f t="shared" si="9"/>
        <v>3643.61</v>
      </c>
      <c r="AA44" s="155"/>
      <c r="AB44" s="177">
        <f t="shared" si="10"/>
        <v>-118029153.93000001</v>
      </c>
      <c r="AC44" s="176">
        <f t="shared" si="11"/>
        <v>16862.310000000001</v>
      </c>
      <c r="AD44" s="178">
        <f t="shared" si="12"/>
        <v>0</v>
      </c>
      <c r="AE44" s="178">
        <f t="shared" si="13"/>
        <v>0</v>
      </c>
      <c r="AF44" s="179">
        <v>28</v>
      </c>
    </row>
    <row r="45" spans="1:32" s="10" customFormat="1" ht="15" customHeight="1" x14ac:dyDescent="0.2">
      <c r="A45" s="162">
        <v>29</v>
      </c>
      <c r="B45" s="106">
        <f t="shared" si="14"/>
        <v>-1</v>
      </c>
      <c r="C45" s="163">
        <f t="shared" si="15"/>
        <v>-7</v>
      </c>
      <c r="D45" s="155"/>
      <c r="E45" s="106">
        <f t="shared" si="0"/>
        <v>1</v>
      </c>
      <c r="F45" s="164">
        <f t="shared" ref="F45:G45" si="48">F44+E45</f>
        <v>42</v>
      </c>
      <c r="G45" s="165">
        <f t="shared" si="48"/>
        <v>799</v>
      </c>
      <c r="H45" s="155"/>
      <c r="I45" s="107">
        <f t="shared" si="1"/>
        <v>2.1</v>
      </c>
      <c r="J45" s="166">
        <f t="shared" si="2"/>
        <v>260000.853</v>
      </c>
      <c r="K45" s="167">
        <f t="shared" si="19"/>
        <v>500571.52</v>
      </c>
      <c r="L45" s="155"/>
      <c r="M45" s="168">
        <f t="shared" si="3"/>
        <v>-35040006.399999999</v>
      </c>
      <c r="N45" s="218">
        <f t="shared" si="16"/>
        <v>-5005.7151999999996</v>
      </c>
      <c r="O45" s="168">
        <f t="shared" si="4"/>
        <v>5005715.2</v>
      </c>
      <c r="P45" s="169">
        <f t="shared" si="17"/>
        <v>193570532.90000001</v>
      </c>
      <c r="Q45" s="170">
        <f t="shared" si="5"/>
        <v>27652.933271428574</v>
      </c>
      <c r="R45" s="156">
        <f t="shared" si="20"/>
        <v>39</v>
      </c>
      <c r="S45" s="171">
        <f t="shared" si="21"/>
        <v>0.05</v>
      </c>
      <c r="T45" s="172">
        <f t="shared" si="22"/>
        <v>32</v>
      </c>
      <c r="U45" s="173">
        <f t="shared" si="23"/>
        <v>0.04</v>
      </c>
      <c r="V45" s="155"/>
      <c r="W45" s="174">
        <f t="shared" si="6"/>
        <v>53070592.549999997</v>
      </c>
      <c r="X45" s="175">
        <f t="shared" si="7"/>
        <v>246641125.44999999</v>
      </c>
      <c r="Y45" s="176">
        <f t="shared" si="8"/>
        <v>0.27</v>
      </c>
      <c r="Z45" s="176">
        <f t="shared" si="9"/>
        <v>7581.51</v>
      </c>
      <c r="AA45" s="155"/>
      <c r="AB45" s="177">
        <f t="shared" si="10"/>
        <v>-246634125.44999999</v>
      </c>
      <c r="AC45" s="176">
        <f t="shared" si="11"/>
        <v>35234.449999999997</v>
      </c>
      <c r="AD45" s="178">
        <f t="shared" si="12"/>
        <v>0</v>
      </c>
      <c r="AE45" s="178">
        <f t="shared" si="13"/>
        <v>0</v>
      </c>
      <c r="AF45" s="179">
        <v>29</v>
      </c>
    </row>
    <row r="46" spans="1:32" s="10" customFormat="1" ht="15" customHeight="1" x14ac:dyDescent="0.2">
      <c r="A46" s="162">
        <v>30</v>
      </c>
      <c r="B46" s="108">
        <f t="shared" si="14"/>
        <v>-1</v>
      </c>
      <c r="C46" s="180">
        <f t="shared" si="15"/>
        <v>-8</v>
      </c>
      <c r="D46" s="181"/>
      <c r="E46" s="108">
        <f t="shared" si="0"/>
        <v>1</v>
      </c>
      <c r="F46" s="180">
        <f t="shared" ref="F46:G46" si="49">F45+E46</f>
        <v>43</v>
      </c>
      <c r="G46" s="180">
        <f t="shared" si="49"/>
        <v>842</v>
      </c>
      <c r="H46" s="181"/>
      <c r="I46" s="109">
        <f t="shared" si="1"/>
        <v>2.12</v>
      </c>
      <c r="J46" s="182">
        <f t="shared" si="2"/>
        <v>551201.80799999996</v>
      </c>
      <c r="K46" s="182">
        <f t="shared" si="19"/>
        <v>1051773.33</v>
      </c>
      <c r="L46" s="183"/>
      <c r="M46" s="184">
        <f t="shared" si="3"/>
        <v>-84141866.400000006</v>
      </c>
      <c r="N46" s="219">
        <f t="shared" si="16"/>
        <v>-12020.266628571429</v>
      </c>
      <c r="O46" s="184">
        <f t="shared" si="4"/>
        <v>10517733.300000001</v>
      </c>
      <c r="P46" s="185">
        <f t="shared" si="17"/>
        <v>408816286.5</v>
      </c>
      <c r="Q46" s="186">
        <f t="shared" si="5"/>
        <v>58402.326642857144</v>
      </c>
      <c r="R46" s="187">
        <f t="shared" si="20"/>
        <v>39</v>
      </c>
      <c r="S46" s="188">
        <f t="shared" si="21"/>
        <v>0.05</v>
      </c>
      <c r="T46" s="189">
        <f t="shared" si="22"/>
        <v>31</v>
      </c>
      <c r="U46" s="188">
        <f t="shared" si="23"/>
        <v>0.04</v>
      </c>
      <c r="V46" s="190"/>
      <c r="W46" s="191">
        <f t="shared" si="6"/>
        <v>111509008.45</v>
      </c>
      <c r="X46" s="192">
        <f t="shared" si="7"/>
        <v>520325294.94999999</v>
      </c>
      <c r="Y46" s="193">
        <f t="shared" si="8"/>
        <v>0.27</v>
      </c>
      <c r="Z46" s="193">
        <f t="shared" si="9"/>
        <v>15929.86</v>
      </c>
      <c r="AA46" s="194"/>
      <c r="AB46" s="195">
        <f t="shared" si="10"/>
        <v>-520318294.94999999</v>
      </c>
      <c r="AC46" s="193">
        <f t="shared" si="11"/>
        <v>74332.179999999993</v>
      </c>
      <c r="AD46" s="196">
        <f t="shared" si="12"/>
        <v>0</v>
      </c>
      <c r="AE46" s="196">
        <f t="shared" si="13"/>
        <v>0</v>
      </c>
      <c r="AF46" s="179">
        <v>30</v>
      </c>
    </row>
    <row r="47" spans="1:32" s="10" customFormat="1" ht="15" customHeight="1" x14ac:dyDescent="0.2">
      <c r="A47" s="162">
        <v>31</v>
      </c>
      <c r="B47" s="106">
        <f t="shared" si="14"/>
        <v>-1</v>
      </c>
      <c r="C47" s="163">
        <f t="shared" si="15"/>
        <v>-9</v>
      </c>
      <c r="D47" s="155"/>
      <c r="E47" s="106">
        <f t="shared" si="0"/>
        <v>1</v>
      </c>
      <c r="F47" s="164">
        <f t="shared" ref="F47:G47" si="50">F46+E47</f>
        <v>44</v>
      </c>
      <c r="G47" s="165">
        <f t="shared" si="50"/>
        <v>886</v>
      </c>
      <c r="H47" s="155"/>
      <c r="I47" s="107">
        <f t="shared" si="1"/>
        <v>2.14</v>
      </c>
      <c r="J47" s="166">
        <f t="shared" si="2"/>
        <v>1179571.8689999999</v>
      </c>
      <c r="K47" s="167">
        <f t="shared" si="19"/>
        <v>2231345.2000000002</v>
      </c>
      <c r="L47" s="155"/>
      <c r="M47" s="168">
        <f t="shared" si="3"/>
        <v>-200821068</v>
      </c>
      <c r="N47" s="218">
        <f t="shared" si="16"/>
        <v>-28688.723999999998</v>
      </c>
      <c r="O47" s="168">
        <f t="shared" si="4"/>
        <v>22313452</v>
      </c>
      <c r="P47" s="169">
        <f t="shared" si="17"/>
        <v>871596551.70000005</v>
      </c>
      <c r="Q47" s="170">
        <f t="shared" si="5"/>
        <v>124513.79310000001</v>
      </c>
      <c r="R47" s="156">
        <f t="shared" si="20"/>
        <v>39</v>
      </c>
      <c r="S47" s="171">
        <f t="shared" si="21"/>
        <v>0.04</v>
      </c>
      <c r="T47" s="172">
        <f t="shared" si="22"/>
        <v>30</v>
      </c>
      <c r="U47" s="173">
        <f t="shared" si="23"/>
        <v>0.03</v>
      </c>
      <c r="V47" s="155"/>
      <c r="W47" s="174">
        <f t="shared" si="6"/>
        <v>236567218.09999999</v>
      </c>
      <c r="X47" s="175">
        <f t="shared" si="7"/>
        <v>1108163769.8</v>
      </c>
      <c r="Y47" s="176">
        <f t="shared" si="8"/>
        <v>0.27</v>
      </c>
      <c r="Z47" s="176">
        <f t="shared" si="9"/>
        <v>33795.32</v>
      </c>
      <c r="AA47" s="155"/>
      <c r="AB47" s="177">
        <f t="shared" si="10"/>
        <v>-1108156769.8</v>
      </c>
      <c r="AC47" s="176">
        <f t="shared" si="11"/>
        <v>158309.10999999999</v>
      </c>
      <c r="AD47" s="178">
        <f t="shared" si="12"/>
        <v>0</v>
      </c>
      <c r="AE47" s="178">
        <f t="shared" si="13"/>
        <v>0</v>
      </c>
      <c r="AF47" s="179">
        <v>31</v>
      </c>
    </row>
    <row r="48" spans="1:32" s="10" customFormat="1" ht="15" customHeight="1" x14ac:dyDescent="0.2">
      <c r="A48" s="162">
        <v>32</v>
      </c>
      <c r="B48" s="106">
        <f t="shared" si="14"/>
        <v>-1</v>
      </c>
      <c r="C48" s="163">
        <f t="shared" si="15"/>
        <v>-10</v>
      </c>
      <c r="D48" s="155"/>
      <c r="E48" s="106">
        <f t="shared" si="0"/>
        <v>1</v>
      </c>
      <c r="F48" s="164">
        <f t="shared" ref="F48:G48" si="51">F47+E48</f>
        <v>45</v>
      </c>
      <c r="G48" s="165">
        <f t="shared" si="51"/>
        <v>931</v>
      </c>
      <c r="H48" s="155"/>
      <c r="I48" s="107">
        <f t="shared" si="1"/>
        <v>2.16</v>
      </c>
      <c r="J48" s="166">
        <f t="shared" si="2"/>
        <v>2547875.2370000002</v>
      </c>
      <c r="K48" s="167">
        <f t="shared" si="19"/>
        <v>4779220.4400000004</v>
      </c>
      <c r="L48" s="155"/>
      <c r="M48" s="168">
        <f t="shared" si="3"/>
        <v>-477922044</v>
      </c>
      <c r="N48" s="218">
        <f t="shared" si="16"/>
        <v>-68274.577714285711</v>
      </c>
      <c r="O48" s="168">
        <f t="shared" si="4"/>
        <v>47792204.399999999</v>
      </c>
      <c r="P48" s="169">
        <f t="shared" si="17"/>
        <v>1875701891.7</v>
      </c>
      <c r="Q48" s="170">
        <f t="shared" si="5"/>
        <v>267957.41310000001</v>
      </c>
      <c r="R48" s="156">
        <f t="shared" si="20"/>
        <v>39</v>
      </c>
      <c r="S48" s="171">
        <f t="shared" si="21"/>
        <v>0.04</v>
      </c>
      <c r="T48" s="172">
        <f t="shared" si="22"/>
        <v>29</v>
      </c>
      <c r="U48" s="173">
        <f t="shared" si="23"/>
        <v>0.03</v>
      </c>
      <c r="V48" s="155"/>
      <c r="W48" s="174">
        <f t="shared" si="6"/>
        <v>506692951.05000001</v>
      </c>
      <c r="X48" s="175">
        <f t="shared" si="7"/>
        <v>2382394842.75</v>
      </c>
      <c r="Y48" s="176">
        <f t="shared" si="8"/>
        <v>0.27</v>
      </c>
      <c r="Z48" s="176">
        <f t="shared" si="9"/>
        <v>72384.710000000006</v>
      </c>
      <c r="AA48" s="155"/>
      <c r="AB48" s="177">
        <f t="shared" si="10"/>
        <v>-2382387842.75</v>
      </c>
      <c r="AC48" s="176">
        <f t="shared" si="11"/>
        <v>340342.12</v>
      </c>
      <c r="AD48" s="178">
        <f t="shared" si="12"/>
        <v>0</v>
      </c>
      <c r="AE48" s="178">
        <f t="shared" si="13"/>
        <v>0</v>
      </c>
      <c r="AF48" s="179">
        <v>32</v>
      </c>
    </row>
    <row r="49" spans="1:32" s="10" customFormat="1" ht="15" customHeight="1" x14ac:dyDescent="0.2">
      <c r="A49" s="162">
        <v>33</v>
      </c>
      <c r="B49" s="106">
        <f t="shared" si="14"/>
        <v>-1</v>
      </c>
      <c r="C49" s="163">
        <f t="shared" si="15"/>
        <v>-11</v>
      </c>
      <c r="D49" s="155"/>
      <c r="E49" s="106">
        <f t="shared" ref="E49:E80" si="52">IF(OR($A49&lt;2,AND(G$13&gt;0,$A49&gt;G$13)),0,IF(AND($A49&gt;=G$10,G$10&gt;0),G$11,IF(AND($A49&gt;=G$7,G$7&gt;0),G$8,0)))</f>
        <v>1</v>
      </c>
      <c r="F49" s="164">
        <f t="shared" ref="F49:G49" si="53">F48+E49</f>
        <v>46</v>
      </c>
      <c r="G49" s="165">
        <f t="shared" si="53"/>
        <v>977</v>
      </c>
      <c r="H49" s="155"/>
      <c r="I49" s="107">
        <f t="shared" ref="I49:I80" si="54">IF(($A49&lt;K$5),1,IF(AND($A49&gt;K$13,K$13&gt;0),I48,IF(AND($A49&gt;=K$10,K$10&gt;0),ROUND(I48+K$11,4),IF(AND($A49&gt;=K$7,K$7&gt;0),ROUND(I48+K$8,4),K$4))))</f>
        <v>2.1800000000000002</v>
      </c>
      <c r="J49" s="166">
        <f t="shared" ref="J49:J80" si="55">IF($A49&lt;K$5, K$3, IF(K$2=0,IF(K$14&gt;0,IF(K$3*K$14&lt;ROUND(J48*I49, 3),K$3*K$14,ROUND(J48*I49, 3)),ROUND(J48*I49, 3)),IF(K$14&gt;0,IF(K$3*K$14&lt;ROUND(K$3*I49, 3),K$3*K$14,ROUND(K$3*I49, 3)),ROUND(K$3*I49, 3))))</f>
        <v>5554368.017</v>
      </c>
      <c r="K49" s="167">
        <f t="shared" si="19"/>
        <v>10333588.460000001</v>
      </c>
      <c r="L49" s="155"/>
      <c r="M49" s="168">
        <f t="shared" ref="M49:M80" si="56">ROUND(C49*O49-K49*$P$6,2)</f>
        <v>-1136694730.5999999</v>
      </c>
      <c r="N49" s="218">
        <f t="shared" si="16"/>
        <v>-162384.96151428571</v>
      </c>
      <c r="O49" s="168">
        <f t="shared" ref="O49:O80" si="57">ROUND(ROUND(K49,2)*$P$4,2)</f>
        <v>103335884.59999999</v>
      </c>
      <c r="P49" s="169">
        <f t="shared" si="17"/>
        <v>4074143294.0999999</v>
      </c>
      <c r="Q49" s="170">
        <f t="shared" ref="Q49:Q80" si="58">P49/$P$10</f>
        <v>582020.47058571433</v>
      </c>
      <c r="R49" s="156">
        <f t="shared" si="20"/>
        <v>39</v>
      </c>
      <c r="S49" s="171">
        <f t="shared" si="21"/>
        <v>0.04</v>
      </c>
      <c r="T49" s="172">
        <f t="shared" si="22"/>
        <v>28</v>
      </c>
      <c r="U49" s="173">
        <f t="shared" si="23"/>
        <v>0.03</v>
      </c>
      <c r="V49" s="155"/>
      <c r="W49" s="174">
        <f t="shared" ref="W49:W80" si="59">ROUND(K49*$P$8,2)</f>
        <v>1095567048.53</v>
      </c>
      <c r="X49" s="175">
        <f t="shared" ref="X49:X80" si="60">ROUND(P49+W49,2)</f>
        <v>5169710342.6300001</v>
      </c>
      <c r="Y49" s="176">
        <f t="shared" ref="Y49:Y80" si="61">IF(P49&gt;0,ROUND(W49/P49,2),0)</f>
        <v>0.27</v>
      </c>
      <c r="Z49" s="176">
        <f t="shared" ref="Z49:Z80" si="62">IF($P$10&gt;0,ROUND(W49/$P$10,2),0)</f>
        <v>156509.57999999999</v>
      </c>
      <c r="AA49" s="155"/>
      <c r="AB49" s="177">
        <f t="shared" ref="AB49:AB80" si="63">IF($P$10&gt;0,ROUND($P$10-X49,2),0)</f>
        <v>-5169703342.6300001</v>
      </c>
      <c r="AC49" s="176">
        <f t="shared" ref="AC49:AC80" si="64">IF($P$10&gt;0,ROUND(X49/$P$10,2),0)</f>
        <v>738530.05</v>
      </c>
      <c r="AD49" s="178">
        <f t="shared" ref="AD49:AD80" si="65">IF(AND(AB49&gt;0,$P$4&gt;0),($P$10-P49-W49*$P$9)/O49,0)</f>
        <v>0</v>
      </c>
      <c r="AE49" s="178">
        <f t="shared" ref="AE49:AE80" si="66">IF(AD49&gt;0,AD49+G49,0)</f>
        <v>0</v>
      </c>
      <c r="AF49" s="179">
        <v>33</v>
      </c>
    </row>
    <row r="50" spans="1:32" s="10" customFormat="1" ht="15" customHeight="1" x14ac:dyDescent="0.2">
      <c r="A50" s="162">
        <v>34</v>
      </c>
      <c r="B50" s="106">
        <f t="shared" ref="B50:B81" si="67">IF(AND($A50&gt;=C$13,C$13&gt;0),0,IF(AND($A50&gt;=C$10,C$10&gt;0),C$11,IF(AND($A50&gt;=C$7,C$7&gt;0),C$8,0)))</f>
        <v>-1</v>
      </c>
      <c r="C50" s="163">
        <f t="shared" ref="C50:C81" si="68">IF(AND($A50&gt;=C$13,C$13&gt;0),C$14,C49+B50)</f>
        <v>-12</v>
      </c>
      <c r="D50" s="155"/>
      <c r="E50" s="106">
        <f t="shared" si="52"/>
        <v>1</v>
      </c>
      <c r="F50" s="164">
        <f t="shared" ref="F50:G50" si="69">F49+E50</f>
        <v>47</v>
      </c>
      <c r="G50" s="165">
        <f t="shared" si="69"/>
        <v>1024</v>
      </c>
      <c r="H50" s="155"/>
      <c r="I50" s="107">
        <f t="shared" si="54"/>
        <v>2.2000000000000002</v>
      </c>
      <c r="J50" s="166">
        <f t="shared" si="55"/>
        <v>12219609.637</v>
      </c>
      <c r="K50" s="167">
        <f t="shared" si="19"/>
        <v>22553198.100000001</v>
      </c>
      <c r="L50" s="155"/>
      <c r="M50" s="168">
        <f t="shared" si="56"/>
        <v>-2706383772</v>
      </c>
      <c r="N50" s="218">
        <f t="shared" si="16"/>
        <v>-386626.25314285717</v>
      </c>
      <c r="O50" s="168">
        <f t="shared" si="57"/>
        <v>225531981</v>
      </c>
      <c r="P50" s="169">
        <f t="shared" ref="P50:P81" si="70">ROUND((ROUND(K49,2)*(G50-G49)*$P$4+P49+J50*$P$6),2)</f>
        <v>8930929870.2999992</v>
      </c>
      <c r="Q50" s="170">
        <f t="shared" si="58"/>
        <v>1275847.1243285714</v>
      </c>
      <c r="R50" s="156">
        <f t="shared" si="20"/>
        <v>40</v>
      </c>
      <c r="S50" s="171">
        <f t="shared" si="21"/>
        <v>0.04</v>
      </c>
      <c r="T50" s="172">
        <f t="shared" si="22"/>
        <v>28</v>
      </c>
      <c r="U50" s="173">
        <f t="shared" si="23"/>
        <v>0.03</v>
      </c>
      <c r="V50" s="155"/>
      <c r="W50" s="174">
        <f t="shared" si="59"/>
        <v>2391090062.5599999</v>
      </c>
      <c r="X50" s="175">
        <f t="shared" si="60"/>
        <v>11322019932.860001</v>
      </c>
      <c r="Y50" s="176">
        <f t="shared" si="61"/>
        <v>0.27</v>
      </c>
      <c r="Z50" s="176">
        <f t="shared" si="62"/>
        <v>341584.29</v>
      </c>
      <c r="AA50" s="155"/>
      <c r="AB50" s="177">
        <f t="shared" si="63"/>
        <v>-11322012932.860001</v>
      </c>
      <c r="AC50" s="176">
        <f t="shared" si="64"/>
        <v>1617431.42</v>
      </c>
      <c r="AD50" s="178">
        <f t="shared" si="65"/>
        <v>0</v>
      </c>
      <c r="AE50" s="178">
        <f t="shared" si="66"/>
        <v>0</v>
      </c>
      <c r="AF50" s="179">
        <v>34</v>
      </c>
    </row>
    <row r="51" spans="1:32" s="10" customFormat="1" ht="15" customHeight="1" x14ac:dyDescent="0.2">
      <c r="A51" s="162">
        <v>35</v>
      </c>
      <c r="B51" s="108">
        <f t="shared" si="67"/>
        <v>-1</v>
      </c>
      <c r="C51" s="180">
        <f t="shared" si="68"/>
        <v>-13</v>
      </c>
      <c r="D51" s="181"/>
      <c r="E51" s="108">
        <f t="shared" si="52"/>
        <v>1</v>
      </c>
      <c r="F51" s="180">
        <f t="shared" ref="F51:G51" si="71">F50+E51</f>
        <v>48</v>
      </c>
      <c r="G51" s="180">
        <f t="shared" si="71"/>
        <v>1072</v>
      </c>
      <c r="H51" s="181"/>
      <c r="I51" s="109">
        <f t="shared" si="54"/>
        <v>2.2200000000000002</v>
      </c>
      <c r="J51" s="182">
        <f t="shared" si="55"/>
        <v>27127533.394000001</v>
      </c>
      <c r="K51" s="182">
        <f t="shared" si="19"/>
        <v>49680731.490000002</v>
      </c>
      <c r="L51" s="183"/>
      <c r="M51" s="184">
        <f t="shared" si="56"/>
        <v>-6458495093.6999998</v>
      </c>
      <c r="N51" s="219">
        <f t="shared" si="16"/>
        <v>-922642.15624285711</v>
      </c>
      <c r="O51" s="184">
        <f t="shared" si="57"/>
        <v>496807314.89999998</v>
      </c>
      <c r="P51" s="185">
        <f t="shared" si="70"/>
        <v>19756464958.299999</v>
      </c>
      <c r="Q51" s="186">
        <f t="shared" si="58"/>
        <v>2822352.1368999998</v>
      </c>
      <c r="R51" s="187">
        <f t="shared" si="20"/>
        <v>40</v>
      </c>
      <c r="S51" s="188">
        <f t="shared" si="21"/>
        <v>0.04</v>
      </c>
      <c r="T51" s="189">
        <f t="shared" si="22"/>
        <v>27</v>
      </c>
      <c r="U51" s="188">
        <f t="shared" si="23"/>
        <v>0.03</v>
      </c>
      <c r="V51" s="190"/>
      <c r="W51" s="191">
        <f t="shared" si="59"/>
        <v>5267151152.5699997</v>
      </c>
      <c r="X51" s="192">
        <f t="shared" si="60"/>
        <v>25023616110.869999</v>
      </c>
      <c r="Y51" s="193">
        <f t="shared" si="61"/>
        <v>0.27</v>
      </c>
      <c r="Z51" s="193">
        <f t="shared" si="62"/>
        <v>752450.16</v>
      </c>
      <c r="AA51" s="194"/>
      <c r="AB51" s="195">
        <f t="shared" si="63"/>
        <v>-25023609110.869999</v>
      </c>
      <c r="AC51" s="193">
        <f t="shared" si="64"/>
        <v>3574802.3</v>
      </c>
      <c r="AD51" s="196">
        <f t="shared" si="65"/>
        <v>0</v>
      </c>
      <c r="AE51" s="196">
        <f t="shared" si="66"/>
        <v>0</v>
      </c>
      <c r="AF51" s="179">
        <v>35</v>
      </c>
    </row>
    <row r="52" spans="1:32" s="10" customFormat="1" ht="15" customHeight="1" x14ac:dyDescent="0.2">
      <c r="A52" s="162">
        <v>36</v>
      </c>
      <c r="B52" s="106">
        <f t="shared" si="67"/>
        <v>-1</v>
      </c>
      <c r="C52" s="163">
        <f t="shared" si="68"/>
        <v>-14</v>
      </c>
      <c r="D52" s="155"/>
      <c r="E52" s="106">
        <f t="shared" si="52"/>
        <v>1</v>
      </c>
      <c r="F52" s="164">
        <f t="shared" ref="F52:G52" si="72">F51+E52</f>
        <v>49</v>
      </c>
      <c r="G52" s="165">
        <f t="shared" si="72"/>
        <v>1121</v>
      </c>
      <c r="H52" s="155"/>
      <c r="I52" s="107">
        <f t="shared" si="54"/>
        <v>2.2400000000000002</v>
      </c>
      <c r="J52" s="166">
        <f t="shared" si="55"/>
        <v>60765674.803000003</v>
      </c>
      <c r="K52" s="167">
        <f t="shared" si="19"/>
        <v>110446406.28999999</v>
      </c>
      <c r="L52" s="155"/>
      <c r="M52" s="168">
        <f t="shared" si="56"/>
        <v>-15462496880.6</v>
      </c>
      <c r="N52" s="218">
        <f t="shared" si="16"/>
        <v>-2208928.1258</v>
      </c>
      <c r="O52" s="168">
        <f t="shared" si="57"/>
        <v>1104464062.9000001</v>
      </c>
      <c r="P52" s="169">
        <f t="shared" si="70"/>
        <v>44100023388.400002</v>
      </c>
      <c r="Q52" s="170">
        <f t="shared" si="58"/>
        <v>6300003.3412000006</v>
      </c>
      <c r="R52" s="156">
        <f t="shared" si="20"/>
        <v>40</v>
      </c>
      <c r="S52" s="171">
        <f t="shared" si="21"/>
        <v>0.04</v>
      </c>
      <c r="T52" s="172">
        <f t="shared" si="22"/>
        <v>26</v>
      </c>
      <c r="U52" s="173">
        <f t="shared" si="23"/>
        <v>0.02</v>
      </c>
      <c r="V52" s="155"/>
      <c r="W52" s="174">
        <f t="shared" si="59"/>
        <v>11709527994.870001</v>
      </c>
      <c r="X52" s="175">
        <f t="shared" si="60"/>
        <v>55809551383.269997</v>
      </c>
      <c r="Y52" s="176">
        <f t="shared" si="61"/>
        <v>0.27</v>
      </c>
      <c r="Z52" s="176">
        <f t="shared" si="62"/>
        <v>1672789.71</v>
      </c>
      <c r="AA52" s="155"/>
      <c r="AB52" s="177">
        <f t="shared" si="63"/>
        <v>-55809544383.269997</v>
      </c>
      <c r="AC52" s="176">
        <f t="shared" si="64"/>
        <v>7972793.0499999998</v>
      </c>
      <c r="AD52" s="178">
        <f t="shared" si="65"/>
        <v>0</v>
      </c>
      <c r="AE52" s="178">
        <f t="shared" si="66"/>
        <v>0</v>
      </c>
      <c r="AF52" s="179">
        <v>36</v>
      </c>
    </row>
    <row r="53" spans="1:32" s="10" customFormat="1" ht="15" customHeight="1" x14ac:dyDescent="0.2">
      <c r="A53" s="162">
        <v>37</v>
      </c>
      <c r="B53" s="106">
        <f t="shared" si="67"/>
        <v>-1</v>
      </c>
      <c r="C53" s="163">
        <f t="shared" si="68"/>
        <v>-15</v>
      </c>
      <c r="D53" s="155"/>
      <c r="E53" s="106">
        <f t="shared" si="52"/>
        <v>1</v>
      </c>
      <c r="F53" s="164">
        <f t="shared" ref="F53:G53" si="73">F52+E53</f>
        <v>50</v>
      </c>
      <c r="G53" s="165">
        <f t="shared" si="73"/>
        <v>1171</v>
      </c>
      <c r="H53" s="155"/>
      <c r="I53" s="107">
        <f t="shared" si="54"/>
        <v>2.2599999999999998</v>
      </c>
      <c r="J53" s="166">
        <f t="shared" si="55"/>
        <v>137330425.05500001</v>
      </c>
      <c r="K53" s="167">
        <f t="shared" si="19"/>
        <v>247776831.34999999</v>
      </c>
      <c r="L53" s="155"/>
      <c r="M53" s="168">
        <f t="shared" si="56"/>
        <v>-37166524702.5</v>
      </c>
      <c r="N53" s="218">
        <f t="shared" si="16"/>
        <v>-5309503.5289285714</v>
      </c>
      <c r="O53" s="168">
        <f t="shared" si="57"/>
        <v>2477768313.5</v>
      </c>
      <c r="P53" s="169">
        <f t="shared" si="70"/>
        <v>99323226533.399994</v>
      </c>
      <c r="Q53" s="170">
        <f t="shared" si="58"/>
        <v>14189032.361914285</v>
      </c>
      <c r="R53" s="156">
        <f t="shared" si="20"/>
        <v>40</v>
      </c>
      <c r="S53" s="171">
        <f t="shared" si="21"/>
        <v>0.03</v>
      </c>
      <c r="T53" s="172">
        <f t="shared" si="22"/>
        <v>25</v>
      </c>
      <c r="U53" s="173">
        <f t="shared" si="23"/>
        <v>0.02</v>
      </c>
      <c r="V53" s="155"/>
      <c r="W53" s="174">
        <f t="shared" si="59"/>
        <v>26269299659.73</v>
      </c>
      <c r="X53" s="175">
        <f t="shared" si="60"/>
        <v>125592526193.13</v>
      </c>
      <c r="Y53" s="176">
        <f t="shared" si="61"/>
        <v>0.26</v>
      </c>
      <c r="Z53" s="176">
        <f t="shared" si="62"/>
        <v>3752757.09</v>
      </c>
      <c r="AA53" s="155"/>
      <c r="AB53" s="177">
        <f t="shared" si="63"/>
        <v>-125592519193.13</v>
      </c>
      <c r="AC53" s="176">
        <f t="shared" si="64"/>
        <v>17941789.460000001</v>
      </c>
      <c r="AD53" s="178">
        <f t="shared" si="65"/>
        <v>0</v>
      </c>
      <c r="AE53" s="178">
        <f t="shared" si="66"/>
        <v>0</v>
      </c>
      <c r="AF53" s="179">
        <v>37</v>
      </c>
    </row>
    <row r="54" spans="1:32" s="10" customFormat="1" ht="15" customHeight="1" x14ac:dyDescent="0.2">
      <c r="A54" s="162">
        <v>38</v>
      </c>
      <c r="B54" s="106">
        <f t="shared" si="67"/>
        <v>-1</v>
      </c>
      <c r="C54" s="163">
        <f t="shared" si="68"/>
        <v>-16</v>
      </c>
      <c r="D54" s="155"/>
      <c r="E54" s="106">
        <f t="shared" si="52"/>
        <v>1</v>
      </c>
      <c r="F54" s="164">
        <f t="shared" ref="F54:G54" si="74">F53+E54</f>
        <v>51</v>
      </c>
      <c r="G54" s="165">
        <f t="shared" si="74"/>
        <v>1222</v>
      </c>
      <c r="H54" s="155"/>
      <c r="I54" s="107">
        <f t="shared" si="54"/>
        <v>2.2799999999999998</v>
      </c>
      <c r="J54" s="166">
        <f t="shared" si="55"/>
        <v>313113369.125</v>
      </c>
      <c r="K54" s="167">
        <f t="shared" si="19"/>
        <v>560890200.48000002</v>
      </c>
      <c r="L54" s="155"/>
      <c r="M54" s="168">
        <f t="shared" si="56"/>
        <v>-89742432076.800003</v>
      </c>
      <c r="N54" s="218">
        <f t="shared" si="16"/>
        <v>-12820347.439542858</v>
      </c>
      <c r="O54" s="168">
        <f t="shared" si="57"/>
        <v>5608902004.8000002</v>
      </c>
      <c r="P54" s="169">
        <f t="shared" si="70"/>
        <v>225689410521.89999</v>
      </c>
      <c r="Q54" s="170">
        <f t="shared" si="58"/>
        <v>32241344.360271428</v>
      </c>
      <c r="R54" s="156">
        <f t="shared" si="20"/>
        <v>40</v>
      </c>
      <c r="S54" s="171">
        <f t="shared" si="21"/>
        <v>0.03</v>
      </c>
      <c r="T54" s="172">
        <f t="shared" si="22"/>
        <v>24</v>
      </c>
      <c r="U54" s="173">
        <f t="shared" si="23"/>
        <v>0.02</v>
      </c>
      <c r="V54" s="155"/>
      <c r="W54" s="174">
        <f t="shared" si="59"/>
        <v>59465579054.889999</v>
      </c>
      <c r="X54" s="175">
        <f t="shared" si="60"/>
        <v>285154989576.78998</v>
      </c>
      <c r="Y54" s="176">
        <f t="shared" si="61"/>
        <v>0.26</v>
      </c>
      <c r="Z54" s="176">
        <f t="shared" si="62"/>
        <v>8495082.7200000007</v>
      </c>
      <c r="AA54" s="155"/>
      <c r="AB54" s="177">
        <f t="shared" si="63"/>
        <v>-285154982576.78998</v>
      </c>
      <c r="AC54" s="176">
        <f t="shared" si="64"/>
        <v>40736427.079999998</v>
      </c>
      <c r="AD54" s="178">
        <f t="shared" si="65"/>
        <v>0</v>
      </c>
      <c r="AE54" s="178">
        <f t="shared" si="66"/>
        <v>0</v>
      </c>
      <c r="AF54" s="179">
        <v>38</v>
      </c>
    </row>
    <row r="55" spans="1:32" s="10" customFormat="1" ht="15" customHeight="1" x14ac:dyDescent="0.2">
      <c r="A55" s="162">
        <v>39</v>
      </c>
      <c r="B55" s="106">
        <f t="shared" si="67"/>
        <v>-1</v>
      </c>
      <c r="C55" s="163">
        <f t="shared" si="68"/>
        <v>-17</v>
      </c>
      <c r="D55" s="155"/>
      <c r="E55" s="106">
        <f t="shared" si="52"/>
        <v>1</v>
      </c>
      <c r="F55" s="164">
        <f t="shared" ref="F55:G55" si="75">F54+E55</f>
        <v>52</v>
      </c>
      <c r="G55" s="165">
        <f t="shared" si="75"/>
        <v>1274</v>
      </c>
      <c r="H55" s="155"/>
      <c r="I55" s="107">
        <f t="shared" si="54"/>
        <v>2.2999999999999998</v>
      </c>
      <c r="J55" s="166">
        <f t="shared" si="55"/>
        <v>720160748.98800004</v>
      </c>
      <c r="K55" s="167">
        <f t="shared" si="19"/>
        <v>1281050949.47</v>
      </c>
      <c r="L55" s="155"/>
      <c r="M55" s="168">
        <f t="shared" si="56"/>
        <v>-217778661409.89999</v>
      </c>
      <c r="N55" s="218">
        <f t="shared" si="16"/>
        <v>-31111237.344271429</v>
      </c>
      <c r="O55" s="168">
        <f t="shared" si="57"/>
        <v>12810509494.700001</v>
      </c>
      <c r="P55" s="169">
        <f t="shared" si="70"/>
        <v>517352314771.5</v>
      </c>
      <c r="Q55" s="170">
        <f t="shared" si="58"/>
        <v>73907473.538785711</v>
      </c>
      <c r="R55" s="156">
        <f t="shared" si="20"/>
        <v>40</v>
      </c>
      <c r="S55" s="171">
        <f t="shared" si="21"/>
        <v>0.03</v>
      </c>
      <c r="T55" s="172">
        <f t="shared" si="22"/>
        <v>23</v>
      </c>
      <c r="U55" s="173">
        <f t="shared" si="23"/>
        <v>0.02</v>
      </c>
      <c r="V55" s="155"/>
      <c r="W55" s="174">
        <f t="shared" si="59"/>
        <v>135817021662.81</v>
      </c>
      <c r="X55" s="175">
        <f t="shared" si="60"/>
        <v>653169336434.31006</v>
      </c>
      <c r="Y55" s="176">
        <f t="shared" si="61"/>
        <v>0.26</v>
      </c>
      <c r="Z55" s="176">
        <f t="shared" si="62"/>
        <v>19402431.670000002</v>
      </c>
      <c r="AA55" s="155"/>
      <c r="AB55" s="177">
        <f t="shared" si="63"/>
        <v>-653169329434.31006</v>
      </c>
      <c r="AC55" s="176">
        <f t="shared" si="64"/>
        <v>93309905.200000003</v>
      </c>
      <c r="AD55" s="178">
        <f t="shared" si="65"/>
        <v>0</v>
      </c>
      <c r="AE55" s="178">
        <f t="shared" si="66"/>
        <v>0</v>
      </c>
      <c r="AF55" s="179">
        <v>39</v>
      </c>
    </row>
    <row r="56" spans="1:32" s="10" customFormat="1" ht="15" customHeight="1" x14ac:dyDescent="0.2">
      <c r="A56" s="162">
        <v>40</v>
      </c>
      <c r="B56" s="108">
        <f t="shared" si="67"/>
        <v>-1</v>
      </c>
      <c r="C56" s="180">
        <f t="shared" si="68"/>
        <v>-18</v>
      </c>
      <c r="D56" s="181"/>
      <c r="E56" s="108">
        <f t="shared" si="52"/>
        <v>1</v>
      </c>
      <c r="F56" s="180">
        <f t="shared" ref="F56:G56" si="76">F55+E56</f>
        <v>53</v>
      </c>
      <c r="G56" s="180">
        <f t="shared" si="76"/>
        <v>1327</v>
      </c>
      <c r="H56" s="181"/>
      <c r="I56" s="109">
        <f t="shared" si="54"/>
        <v>2.3199999999999998</v>
      </c>
      <c r="J56" s="182">
        <f t="shared" si="55"/>
        <v>1670772937.652</v>
      </c>
      <c r="K56" s="182">
        <f t="shared" si="19"/>
        <v>2951823887.1199999</v>
      </c>
      <c r="L56" s="183"/>
      <c r="M56" s="184">
        <f t="shared" si="56"/>
        <v>-531328299681.59998</v>
      </c>
      <c r="N56" s="219">
        <f t="shared" si="16"/>
        <v>-75904042.811657146</v>
      </c>
      <c r="O56" s="184">
        <f t="shared" si="57"/>
        <v>29518238871.200001</v>
      </c>
      <c r="P56" s="185">
        <f t="shared" si="70"/>
        <v>1196309317990.6001</v>
      </c>
      <c r="Q56" s="186">
        <f t="shared" si="58"/>
        <v>170901331.1415143</v>
      </c>
      <c r="R56" s="187">
        <f t="shared" si="20"/>
        <v>41</v>
      </c>
      <c r="S56" s="188">
        <f t="shared" si="21"/>
        <v>0.03</v>
      </c>
      <c r="T56" s="189">
        <f t="shared" si="22"/>
        <v>23</v>
      </c>
      <c r="U56" s="188">
        <f t="shared" si="23"/>
        <v>0.02</v>
      </c>
      <c r="V56" s="190"/>
      <c r="W56" s="191">
        <f t="shared" si="59"/>
        <v>312952368512.46002</v>
      </c>
      <c r="X56" s="192">
        <f t="shared" si="60"/>
        <v>1509261686503.0601</v>
      </c>
      <c r="Y56" s="193">
        <f t="shared" si="61"/>
        <v>0.26</v>
      </c>
      <c r="Z56" s="193">
        <f t="shared" si="62"/>
        <v>44707481.219999999</v>
      </c>
      <c r="AA56" s="194"/>
      <c r="AB56" s="195">
        <f t="shared" si="63"/>
        <v>-1509261679503.0601</v>
      </c>
      <c r="AC56" s="193">
        <f t="shared" si="64"/>
        <v>215608812.36000001</v>
      </c>
      <c r="AD56" s="196">
        <f t="shared" si="65"/>
        <v>0</v>
      </c>
      <c r="AE56" s="196">
        <f t="shared" si="66"/>
        <v>0</v>
      </c>
      <c r="AF56" s="179">
        <v>40</v>
      </c>
    </row>
    <row r="57" spans="1:32" s="10" customFormat="1" ht="15" customHeight="1" x14ac:dyDescent="0.2">
      <c r="A57" s="162">
        <v>41</v>
      </c>
      <c r="B57" s="106">
        <f t="shared" si="67"/>
        <v>-1</v>
      </c>
      <c r="C57" s="163">
        <f t="shared" si="68"/>
        <v>-19</v>
      </c>
      <c r="D57" s="155"/>
      <c r="E57" s="106">
        <f t="shared" si="52"/>
        <v>1</v>
      </c>
      <c r="F57" s="164">
        <f t="shared" ref="F57:G57" si="77">F56+E57</f>
        <v>54</v>
      </c>
      <c r="G57" s="165">
        <f t="shared" si="77"/>
        <v>1381</v>
      </c>
      <c r="H57" s="155"/>
      <c r="I57" s="107">
        <f t="shared" si="54"/>
        <v>2.34</v>
      </c>
      <c r="J57" s="166">
        <f t="shared" si="55"/>
        <v>3909608674.1059999</v>
      </c>
      <c r="K57" s="167">
        <f t="shared" si="19"/>
        <v>6861432561.2299995</v>
      </c>
      <c r="L57" s="155"/>
      <c r="M57" s="168">
        <f t="shared" si="56"/>
        <v>-1303672186633.7</v>
      </c>
      <c r="N57" s="218">
        <f t="shared" si="16"/>
        <v>-186238883.80481428</v>
      </c>
      <c r="O57" s="168">
        <f t="shared" si="57"/>
        <v>68614325612.300003</v>
      </c>
      <c r="P57" s="169">
        <f t="shared" si="70"/>
        <v>2790294217035.3999</v>
      </c>
      <c r="Q57" s="170">
        <f t="shared" si="58"/>
        <v>398613459.57648569</v>
      </c>
      <c r="R57" s="156">
        <f t="shared" si="20"/>
        <v>41</v>
      </c>
      <c r="S57" s="171">
        <f t="shared" si="21"/>
        <v>0.03</v>
      </c>
      <c r="T57" s="172">
        <f t="shared" si="22"/>
        <v>22</v>
      </c>
      <c r="U57" s="173">
        <f t="shared" si="23"/>
        <v>0.02</v>
      </c>
      <c r="V57" s="155"/>
      <c r="W57" s="174">
        <f t="shared" si="59"/>
        <v>727449080141.59998</v>
      </c>
      <c r="X57" s="175">
        <f t="shared" si="60"/>
        <v>3517743297177</v>
      </c>
      <c r="Y57" s="176">
        <f t="shared" si="61"/>
        <v>0.26</v>
      </c>
      <c r="Z57" s="176">
        <f t="shared" si="62"/>
        <v>103921297.16</v>
      </c>
      <c r="AA57" s="155"/>
      <c r="AB57" s="177">
        <f t="shared" si="63"/>
        <v>-3517743290177</v>
      </c>
      <c r="AC57" s="176">
        <f t="shared" si="64"/>
        <v>502534756.74000001</v>
      </c>
      <c r="AD57" s="178">
        <f t="shared" si="65"/>
        <v>0</v>
      </c>
      <c r="AE57" s="178">
        <f t="shared" si="66"/>
        <v>0</v>
      </c>
      <c r="AF57" s="179">
        <v>41</v>
      </c>
    </row>
    <row r="58" spans="1:32" s="10" customFormat="1" ht="15" customHeight="1" x14ac:dyDescent="0.2">
      <c r="A58" s="162">
        <v>42</v>
      </c>
      <c r="B58" s="106">
        <f t="shared" si="67"/>
        <v>-1</v>
      </c>
      <c r="C58" s="163">
        <f t="shared" si="68"/>
        <v>-20</v>
      </c>
      <c r="D58" s="155"/>
      <c r="E58" s="106">
        <f t="shared" si="52"/>
        <v>1</v>
      </c>
      <c r="F58" s="164">
        <f t="shared" ref="F58:G58" si="78">F57+E58</f>
        <v>55</v>
      </c>
      <c r="G58" s="165">
        <f t="shared" si="78"/>
        <v>1436</v>
      </c>
      <c r="H58" s="155"/>
      <c r="I58" s="107">
        <f t="shared" si="54"/>
        <v>2.36</v>
      </c>
      <c r="J58" s="166">
        <f t="shared" si="55"/>
        <v>9226676470.8899994</v>
      </c>
      <c r="K58" s="167">
        <f t="shared" si="19"/>
        <v>16088109032.119999</v>
      </c>
      <c r="L58" s="155"/>
      <c r="M58" s="168">
        <f t="shared" si="56"/>
        <v>-3217621806424</v>
      </c>
      <c r="N58" s="218">
        <f t="shared" si="16"/>
        <v>-459660258.06057143</v>
      </c>
      <c r="O58" s="168">
        <f t="shared" si="57"/>
        <v>160881090321.20001</v>
      </c>
      <c r="P58" s="169">
        <f t="shared" si="70"/>
        <v>6564082125711.9004</v>
      </c>
      <c r="Q58" s="170">
        <f t="shared" si="58"/>
        <v>937726017.95884287</v>
      </c>
      <c r="R58" s="156">
        <f t="shared" si="20"/>
        <v>41</v>
      </c>
      <c r="S58" s="171">
        <f t="shared" si="21"/>
        <v>0.03</v>
      </c>
      <c r="T58" s="172">
        <f t="shared" si="22"/>
        <v>21</v>
      </c>
      <c r="U58" s="173">
        <f t="shared" si="23"/>
        <v>0.01</v>
      </c>
      <c r="V58" s="155"/>
      <c r="W58" s="174">
        <f t="shared" si="59"/>
        <v>1705661319585.3601</v>
      </c>
      <c r="X58" s="175">
        <f t="shared" si="60"/>
        <v>8269743445297.2598</v>
      </c>
      <c r="Y58" s="176">
        <f t="shared" si="61"/>
        <v>0.26</v>
      </c>
      <c r="Z58" s="176">
        <f t="shared" si="62"/>
        <v>243665902.80000001</v>
      </c>
      <c r="AA58" s="155"/>
      <c r="AB58" s="177">
        <f t="shared" si="63"/>
        <v>-8269743438297.2598</v>
      </c>
      <c r="AC58" s="176">
        <f t="shared" si="64"/>
        <v>1181391920.76</v>
      </c>
      <c r="AD58" s="178">
        <f t="shared" si="65"/>
        <v>0</v>
      </c>
      <c r="AE58" s="178">
        <f t="shared" si="66"/>
        <v>0</v>
      </c>
      <c r="AF58" s="179">
        <v>42</v>
      </c>
    </row>
    <row r="59" spans="1:32" s="10" customFormat="1" ht="15" customHeight="1" x14ac:dyDescent="0.2">
      <c r="A59" s="162">
        <v>43</v>
      </c>
      <c r="B59" s="106">
        <f t="shared" si="67"/>
        <v>-1</v>
      </c>
      <c r="C59" s="163">
        <f t="shared" si="68"/>
        <v>-21</v>
      </c>
      <c r="D59" s="155"/>
      <c r="E59" s="106">
        <f t="shared" si="52"/>
        <v>1</v>
      </c>
      <c r="F59" s="164">
        <f t="shared" ref="F59:G59" si="79">F58+E59</f>
        <v>56</v>
      </c>
      <c r="G59" s="165">
        <f t="shared" si="79"/>
        <v>1492</v>
      </c>
      <c r="H59" s="155"/>
      <c r="I59" s="107">
        <f t="shared" si="54"/>
        <v>2.38</v>
      </c>
      <c r="J59" s="166">
        <f t="shared" si="55"/>
        <v>21959490000.717999</v>
      </c>
      <c r="K59" s="167">
        <f t="shared" si="19"/>
        <v>38047599032.839996</v>
      </c>
      <c r="L59" s="155"/>
      <c r="M59" s="168">
        <f t="shared" si="56"/>
        <v>-7989995796896.4004</v>
      </c>
      <c r="N59" s="218">
        <f t="shared" si="16"/>
        <v>-1141427970.9852002</v>
      </c>
      <c r="O59" s="168">
        <f t="shared" si="57"/>
        <v>380475990328.40002</v>
      </c>
      <c r="P59" s="169">
        <f t="shared" si="70"/>
        <v>15573423183699.1</v>
      </c>
      <c r="Q59" s="170">
        <f t="shared" si="58"/>
        <v>2224774740.5284429</v>
      </c>
      <c r="R59" s="156">
        <f t="shared" si="20"/>
        <v>41</v>
      </c>
      <c r="S59" s="171">
        <f t="shared" si="21"/>
        <v>0.03</v>
      </c>
      <c r="T59" s="172">
        <f t="shared" si="22"/>
        <v>20</v>
      </c>
      <c r="U59" s="173">
        <f t="shared" si="23"/>
        <v>0.01</v>
      </c>
      <c r="V59" s="155"/>
      <c r="W59" s="174">
        <f t="shared" si="59"/>
        <v>4033806449461.7002</v>
      </c>
      <c r="X59" s="175">
        <f t="shared" si="60"/>
        <v>19607229633160.801</v>
      </c>
      <c r="Y59" s="176">
        <f t="shared" si="61"/>
        <v>0.26</v>
      </c>
      <c r="Z59" s="176">
        <f t="shared" si="62"/>
        <v>576258064.21000004</v>
      </c>
      <c r="AA59" s="155"/>
      <c r="AB59" s="177">
        <f t="shared" si="63"/>
        <v>-19607229626160.801</v>
      </c>
      <c r="AC59" s="176">
        <f t="shared" si="64"/>
        <v>2801032804.7399998</v>
      </c>
      <c r="AD59" s="178">
        <f t="shared" si="65"/>
        <v>0</v>
      </c>
      <c r="AE59" s="178">
        <f t="shared" si="66"/>
        <v>0</v>
      </c>
      <c r="AF59" s="179">
        <v>43</v>
      </c>
    </row>
    <row r="60" spans="1:32" s="10" customFormat="1" ht="15" customHeight="1" x14ac:dyDescent="0.2">
      <c r="A60" s="162">
        <v>44</v>
      </c>
      <c r="B60" s="106">
        <f t="shared" si="67"/>
        <v>-1</v>
      </c>
      <c r="C60" s="163">
        <f t="shared" si="68"/>
        <v>-22</v>
      </c>
      <c r="D60" s="155"/>
      <c r="E60" s="106">
        <f t="shared" si="52"/>
        <v>1</v>
      </c>
      <c r="F60" s="164">
        <f t="shared" ref="F60:G60" si="80">F59+E60</f>
        <v>57</v>
      </c>
      <c r="G60" s="165">
        <f t="shared" si="80"/>
        <v>1549</v>
      </c>
      <c r="H60" s="155"/>
      <c r="I60" s="107">
        <f t="shared" si="54"/>
        <v>2.4</v>
      </c>
      <c r="J60" s="166">
        <f t="shared" si="55"/>
        <v>52702776001.723</v>
      </c>
      <c r="K60" s="167">
        <f t="shared" si="19"/>
        <v>90750375034.559998</v>
      </c>
      <c r="L60" s="155"/>
      <c r="M60" s="168">
        <f t="shared" si="56"/>
        <v>-19965082507603.199</v>
      </c>
      <c r="N60" s="218">
        <f t="shared" si="16"/>
        <v>-2852154643.9433141</v>
      </c>
      <c r="O60" s="168">
        <f t="shared" si="57"/>
        <v>907503750345.59998</v>
      </c>
      <c r="P60" s="169">
        <f t="shared" si="70"/>
        <v>37260554632417.898</v>
      </c>
      <c r="Q60" s="170">
        <f t="shared" si="58"/>
        <v>5322936376.0597</v>
      </c>
      <c r="R60" s="156">
        <f t="shared" si="20"/>
        <v>41</v>
      </c>
      <c r="S60" s="171">
        <f t="shared" si="21"/>
        <v>0.03</v>
      </c>
      <c r="T60" s="172">
        <f t="shared" si="22"/>
        <v>19</v>
      </c>
      <c r="U60" s="173">
        <f t="shared" si="23"/>
        <v>0.01</v>
      </c>
      <c r="V60" s="155"/>
      <c r="W60" s="174">
        <f t="shared" si="59"/>
        <v>9621354761164.0508</v>
      </c>
      <c r="X60" s="175">
        <f t="shared" si="60"/>
        <v>46881909393582</v>
      </c>
      <c r="Y60" s="176">
        <f t="shared" si="61"/>
        <v>0.26</v>
      </c>
      <c r="Z60" s="176">
        <f t="shared" si="62"/>
        <v>1374479251.5899999</v>
      </c>
      <c r="AA60" s="155"/>
      <c r="AB60" s="177">
        <f t="shared" si="63"/>
        <v>-46881909386582</v>
      </c>
      <c r="AC60" s="176">
        <f t="shared" si="64"/>
        <v>6697415627.6499996</v>
      </c>
      <c r="AD60" s="178">
        <f t="shared" si="65"/>
        <v>0</v>
      </c>
      <c r="AE60" s="178">
        <f t="shared" si="66"/>
        <v>0</v>
      </c>
      <c r="AF60" s="179">
        <v>44</v>
      </c>
    </row>
    <row r="61" spans="1:32" s="10" customFormat="1" ht="15" customHeight="1" x14ac:dyDescent="0.2">
      <c r="A61" s="162">
        <v>45</v>
      </c>
      <c r="B61" s="108">
        <f t="shared" si="67"/>
        <v>-1</v>
      </c>
      <c r="C61" s="180">
        <f t="shared" si="68"/>
        <v>-23</v>
      </c>
      <c r="D61" s="181"/>
      <c r="E61" s="108">
        <f t="shared" si="52"/>
        <v>1</v>
      </c>
      <c r="F61" s="180">
        <f t="shared" ref="F61:G61" si="81">F60+E61</f>
        <v>58</v>
      </c>
      <c r="G61" s="180">
        <f t="shared" si="81"/>
        <v>1607</v>
      </c>
      <c r="H61" s="181"/>
      <c r="I61" s="109">
        <f t="shared" si="54"/>
        <v>2.42</v>
      </c>
      <c r="J61" s="182">
        <f t="shared" si="55"/>
        <v>127540717924.17</v>
      </c>
      <c r="K61" s="182">
        <f t="shared" si="19"/>
        <v>218291092958.72998</v>
      </c>
      <c r="L61" s="183"/>
      <c r="M61" s="184">
        <f t="shared" si="56"/>
        <v>-50206951380507.898</v>
      </c>
      <c r="N61" s="219">
        <f t="shared" si="16"/>
        <v>-7172421625.7868423</v>
      </c>
      <c r="O61" s="184">
        <f t="shared" si="57"/>
        <v>2182910929587.3</v>
      </c>
      <c r="P61" s="185">
        <f t="shared" si="70"/>
        <v>89895772152462.703</v>
      </c>
      <c r="Q61" s="186">
        <f t="shared" si="58"/>
        <v>12842253164.637529</v>
      </c>
      <c r="R61" s="187">
        <f t="shared" si="20"/>
        <v>41</v>
      </c>
      <c r="S61" s="188">
        <f t="shared" si="21"/>
        <v>0.03</v>
      </c>
      <c r="T61" s="189">
        <f t="shared" si="22"/>
        <v>18</v>
      </c>
      <c r="U61" s="188">
        <f t="shared" si="23"/>
        <v>0.01</v>
      </c>
      <c r="V61" s="190"/>
      <c r="W61" s="191">
        <f t="shared" si="59"/>
        <v>23143221675484.602</v>
      </c>
      <c r="X61" s="192">
        <f t="shared" si="60"/>
        <v>113038993827947</v>
      </c>
      <c r="Y61" s="193">
        <f t="shared" si="61"/>
        <v>0.26</v>
      </c>
      <c r="Z61" s="193">
        <f t="shared" si="62"/>
        <v>3306174525.0700002</v>
      </c>
      <c r="AA61" s="194"/>
      <c r="AB61" s="195">
        <f t="shared" si="63"/>
        <v>-113038993820947</v>
      </c>
      <c r="AC61" s="193">
        <f t="shared" si="64"/>
        <v>16148427689.709999</v>
      </c>
      <c r="AD61" s="196">
        <f t="shared" si="65"/>
        <v>0</v>
      </c>
      <c r="AE61" s="196">
        <f t="shared" si="66"/>
        <v>0</v>
      </c>
      <c r="AF61" s="179">
        <v>45</v>
      </c>
    </row>
    <row r="62" spans="1:32" s="10" customFormat="1" ht="15" customHeight="1" x14ac:dyDescent="0.2">
      <c r="A62" s="162">
        <v>46</v>
      </c>
      <c r="B62" s="106">
        <f t="shared" si="67"/>
        <v>-1</v>
      </c>
      <c r="C62" s="163">
        <f t="shared" si="68"/>
        <v>-24</v>
      </c>
      <c r="D62" s="155"/>
      <c r="E62" s="106">
        <f t="shared" si="52"/>
        <v>1</v>
      </c>
      <c r="F62" s="164">
        <f t="shared" ref="F62:G62" si="82">F61+E62</f>
        <v>59</v>
      </c>
      <c r="G62" s="165">
        <f t="shared" si="82"/>
        <v>1666</v>
      </c>
      <c r="H62" s="155"/>
      <c r="I62" s="107">
        <f t="shared" si="54"/>
        <v>2.44</v>
      </c>
      <c r="J62" s="166">
        <f t="shared" si="55"/>
        <v>311199351734.97498</v>
      </c>
      <c r="K62" s="167">
        <f t="shared" si="19"/>
        <v>529490444693.70996</v>
      </c>
      <c r="L62" s="155"/>
      <c r="M62" s="168">
        <f t="shared" si="56"/>
        <v>-127077706726490</v>
      </c>
      <c r="N62" s="218">
        <f t="shared" si="16"/>
        <v>-18153958103.784286</v>
      </c>
      <c r="O62" s="168">
        <f t="shared" si="57"/>
        <v>5294904446937.0996</v>
      </c>
      <c r="P62" s="169">
        <f t="shared" si="70"/>
        <v>218687516998113</v>
      </c>
      <c r="Q62" s="170">
        <f t="shared" si="58"/>
        <v>31241073856.873287</v>
      </c>
      <c r="R62" s="156">
        <f t="shared" si="20"/>
        <v>41</v>
      </c>
      <c r="S62" s="171">
        <f t="shared" si="21"/>
        <v>0.02</v>
      </c>
      <c r="T62" s="172">
        <f t="shared" si="22"/>
        <v>17</v>
      </c>
      <c r="U62" s="173">
        <f t="shared" si="23"/>
        <v>0.01</v>
      </c>
      <c r="V62" s="155"/>
      <c r="W62" s="174">
        <f t="shared" si="59"/>
        <v>56136576946427.102</v>
      </c>
      <c r="X62" s="175">
        <f t="shared" si="60"/>
        <v>274824093944540</v>
      </c>
      <c r="Y62" s="176">
        <f t="shared" si="61"/>
        <v>0.26</v>
      </c>
      <c r="Z62" s="176">
        <f t="shared" si="62"/>
        <v>8019510992.3500004</v>
      </c>
      <c r="AA62" s="155"/>
      <c r="AB62" s="177">
        <f t="shared" si="63"/>
        <v>-274824093937540</v>
      </c>
      <c r="AC62" s="176">
        <f t="shared" si="64"/>
        <v>39260584849.220001</v>
      </c>
      <c r="AD62" s="178">
        <f t="shared" si="65"/>
        <v>0</v>
      </c>
      <c r="AE62" s="178">
        <f t="shared" si="66"/>
        <v>0</v>
      </c>
      <c r="AF62" s="179">
        <v>46</v>
      </c>
    </row>
    <row r="63" spans="1:32" s="10" customFormat="1" ht="15" customHeight="1" x14ac:dyDescent="0.2">
      <c r="A63" s="162">
        <v>47</v>
      </c>
      <c r="B63" s="106">
        <f t="shared" si="67"/>
        <v>-1</v>
      </c>
      <c r="C63" s="163">
        <f t="shared" si="68"/>
        <v>-25</v>
      </c>
      <c r="D63" s="155"/>
      <c r="E63" s="106">
        <f t="shared" si="52"/>
        <v>1</v>
      </c>
      <c r="F63" s="164">
        <f t="shared" ref="F63:G63" si="83">F62+E63</f>
        <v>60</v>
      </c>
      <c r="G63" s="165">
        <f t="shared" si="83"/>
        <v>1726</v>
      </c>
      <c r="H63" s="155"/>
      <c r="I63" s="107">
        <f t="shared" si="54"/>
        <v>2.46</v>
      </c>
      <c r="J63" s="166">
        <f t="shared" si="55"/>
        <v>765550405268.03796</v>
      </c>
      <c r="K63" s="167">
        <f t="shared" si="19"/>
        <v>1295040849961.75</v>
      </c>
      <c r="L63" s="155"/>
      <c r="M63" s="168">
        <f t="shared" si="56"/>
        <v>-323760212490437</v>
      </c>
      <c r="N63" s="218">
        <f t="shared" si="16"/>
        <v>-46251458927.205284</v>
      </c>
      <c r="O63" s="168">
        <f t="shared" si="57"/>
        <v>12950408499617.5</v>
      </c>
      <c r="P63" s="169">
        <f t="shared" si="70"/>
        <v>536381783814339</v>
      </c>
      <c r="Q63" s="170">
        <f t="shared" si="58"/>
        <v>76625969116.334137</v>
      </c>
      <c r="R63" s="156">
        <f t="shared" si="20"/>
        <v>41</v>
      </c>
      <c r="S63" s="171">
        <f t="shared" si="21"/>
        <v>0.02</v>
      </c>
      <c r="T63" s="172">
        <f t="shared" si="22"/>
        <v>16</v>
      </c>
      <c r="U63" s="173">
        <f t="shared" si="23"/>
        <v>0.01</v>
      </c>
      <c r="V63" s="155"/>
      <c r="W63" s="174">
        <f t="shared" si="59"/>
        <v>137300230912945</v>
      </c>
      <c r="X63" s="175">
        <f t="shared" si="60"/>
        <v>673682014727284</v>
      </c>
      <c r="Y63" s="176">
        <f t="shared" si="61"/>
        <v>0.26</v>
      </c>
      <c r="Z63" s="176">
        <f t="shared" si="62"/>
        <v>19614318701.849998</v>
      </c>
      <c r="AA63" s="155"/>
      <c r="AB63" s="177">
        <f t="shared" si="63"/>
        <v>-673682014720284</v>
      </c>
      <c r="AC63" s="176">
        <f t="shared" si="64"/>
        <v>96240287818.179993</v>
      </c>
      <c r="AD63" s="178">
        <f t="shared" si="65"/>
        <v>0</v>
      </c>
      <c r="AE63" s="178">
        <f t="shared" si="66"/>
        <v>0</v>
      </c>
      <c r="AF63" s="179">
        <v>47</v>
      </c>
    </row>
    <row r="64" spans="1:32" s="10" customFormat="1" ht="15" customHeight="1" x14ac:dyDescent="0.2">
      <c r="A64" s="162">
        <v>48</v>
      </c>
      <c r="B64" s="106">
        <f t="shared" si="67"/>
        <v>-1</v>
      </c>
      <c r="C64" s="163">
        <f t="shared" si="68"/>
        <v>-26</v>
      </c>
      <c r="D64" s="155"/>
      <c r="E64" s="106">
        <f t="shared" si="52"/>
        <v>1</v>
      </c>
      <c r="F64" s="164">
        <f t="shared" ref="F64:G64" si="84">F63+E64</f>
        <v>61</v>
      </c>
      <c r="G64" s="165">
        <f t="shared" si="84"/>
        <v>1787</v>
      </c>
      <c r="H64" s="155"/>
      <c r="I64" s="107">
        <f t="shared" si="54"/>
        <v>2.48</v>
      </c>
      <c r="J64" s="166">
        <f t="shared" si="55"/>
        <v>1898565005064.73</v>
      </c>
      <c r="K64" s="167">
        <f t="shared" si="19"/>
        <v>3193605855026.48</v>
      </c>
      <c r="L64" s="155"/>
      <c r="M64" s="168">
        <f t="shared" si="56"/>
        <v>-830337522306885</v>
      </c>
      <c r="N64" s="218">
        <f t="shared" si="16"/>
        <v>-118619646043.84071</v>
      </c>
      <c r="O64" s="168">
        <f t="shared" si="57"/>
        <v>31936058550264.801</v>
      </c>
      <c r="P64" s="169">
        <f t="shared" si="70"/>
        <v>1326356702291010</v>
      </c>
      <c r="Q64" s="170">
        <f t="shared" si="58"/>
        <v>189479528898.71573</v>
      </c>
      <c r="R64" s="156">
        <f t="shared" si="20"/>
        <v>42</v>
      </c>
      <c r="S64" s="171">
        <f t="shared" si="21"/>
        <v>0.02</v>
      </c>
      <c r="T64" s="172">
        <f t="shared" si="22"/>
        <v>16</v>
      </c>
      <c r="U64" s="173">
        <f t="shared" si="23"/>
        <v>0.01</v>
      </c>
      <c r="V64" s="155"/>
      <c r="W64" s="174">
        <f t="shared" si="59"/>
        <v>338586092749907</v>
      </c>
      <c r="X64" s="175">
        <f t="shared" si="60"/>
        <v>1664942795040920</v>
      </c>
      <c r="Y64" s="176">
        <f t="shared" si="61"/>
        <v>0.26</v>
      </c>
      <c r="Z64" s="176">
        <f t="shared" si="62"/>
        <v>48369441821.419998</v>
      </c>
      <c r="AA64" s="155"/>
      <c r="AB64" s="177">
        <f t="shared" si="63"/>
        <v>-1664942795033920</v>
      </c>
      <c r="AC64" s="176">
        <f t="shared" si="64"/>
        <v>237848970720.13</v>
      </c>
      <c r="AD64" s="178">
        <f t="shared" si="65"/>
        <v>0</v>
      </c>
      <c r="AE64" s="178">
        <f t="shared" si="66"/>
        <v>0</v>
      </c>
      <c r="AF64" s="179">
        <v>48</v>
      </c>
    </row>
    <row r="65" spans="1:32" s="10" customFormat="1" ht="15" customHeight="1" x14ac:dyDescent="0.2">
      <c r="A65" s="162">
        <v>49</v>
      </c>
      <c r="B65" s="106">
        <f t="shared" si="67"/>
        <v>-1</v>
      </c>
      <c r="C65" s="163">
        <f t="shared" si="68"/>
        <v>-27</v>
      </c>
      <c r="D65" s="155"/>
      <c r="E65" s="106">
        <f t="shared" si="52"/>
        <v>1</v>
      </c>
      <c r="F65" s="164">
        <f t="shared" ref="F65:G65" si="85">F64+E65</f>
        <v>62</v>
      </c>
      <c r="G65" s="165">
        <f t="shared" si="85"/>
        <v>1849</v>
      </c>
      <c r="H65" s="155"/>
      <c r="I65" s="107">
        <f t="shared" si="54"/>
        <v>2.5</v>
      </c>
      <c r="J65" s="166">
        <f t="shared" si="55"/>
        <v>4746412512661.8301</v>
      </c>
      <c r="K65" s="167">
        <f t="shared" si="19"/>
        <v>7940018367688.3105</v>
      </c>
      <c r="L65" s="155"/>
      <c r="M65" s="168">
        <f t="shared" si="56"/>
        <v>-2143804959275840</v>
      </c>
      <c r="N65" s="218">
        <f t="shared" si="16"/>
        <v>-306257851325.12</v>
      </c>
      <c r="O65" s="168">
        <f t="shared" si="57"/>
        <v>79400183676883.094</v>
      </c>
      <c r="P65" s="169">
        <f t="shared" si="70"/>
        <v>3306392332407430</v>
      </c>
      <c r="Q65" s="170">
        <f t="shared" si="58"/>
        <v>472341761772.48999</v>
      </c>
      <c r="R65" s="156">
        <f t="shared" si="20"/>
        <v>42</v>
      </c>
      <c r="S65" s="171">
        <f t="shared" si="21"/>
        <v>0.02</v>
      </c>
      <c r="T65" s="172">
        <f t="shared" si="22"/>
        <v>15</v>
      </c>
      <c r="U65" s="173">
        <f t="shared" si="23"/>
        <v>0.01</v>
      </c>
      <c r="V65" s="155"/>
      <c r="W65" s="174">
        <f t="shared" si="59"/>
        <v>841800747342315</v>
      </c>
      <c r="X65" s="175">
        <f t="shared" si="60"/>
        <v>4148193079749740</v>
      </c>
      <c r="Y65" s="176">
        <f t="shared" si="61"/>
        <v>0.25</v>
      </c>
      <c r="Z65" s="176">
        <f t="shared" si="62"/>
        <v>120257249620.33</v>
      </c>
      <c r="AA65" s="155"/>
      <c r="AB65" s="177">
        <f t="shared" si="63"/>
        <v>-4148193079742740</v>
      </c>
      <c r="AC65" s="176">
        <f t="shared" si="64"/>
        <v>592599011392.81995</v>
      </c>
      <c r="AD65" s="178">
        <f t="shared" si="65"/>
        <v>0</v>
      </c>
      <c r="AE65" s="178">
        <f t="shared" si="66"/>
        <v>0</v>
      </c>
      <c r="AF65" s="179">
        <v>49</v>
      </c>
    </row>
    <row r="66" spans="1:32" s="10" customFormat="1" ht="15" customHeight="1" x14ac:dyDescent="0.2">
      <c r="A66" s="162">
        <v>50</v>
      </c>
      <c r="B66" s="108">
        <f t="shared" si="67"/>
        <v>-1</v>
      </c>
      <c r="C66" s="180">
        <f t="shared" si="68"/>
        <v>-28</v>
      </c>
      <c r="D66" s="181"/>
      <c r="E66" s="108">
        <f t="shared" si="52"/>
        <v>1</v>
      </c>
      <c r="F66" s="180">
        <f t="shared" ref="F66:G66" si="86">F65+E66</f>
        <v>63</v>
      </c>
      <c r="G66" s="180">
        <f t="shared" si="86"/>
        <v>1912</v>
      </c>
      <c r="H66" s="181"/>
      <c r="I66" s="109">
        <f t="shared" si="54"/>
        <v>2.52</v>
      </c>
      <c r="J66" s="182">
        <f t="shared" si="55"/>
        <v>11960959531907.801</v>
      </c>
      <c r="K66" s="182">
        <f t="shared" si="19"/>
        <v>19900977899596.109</v>
      </c>
      <c r="L66" s="183"/>
      <c r="M66" s="184">
        <f t="shared" si="56"/>
        <v>-5572273811886910</v>
      </c>
      <c r="N66" s="219">
        <f t="shared" si="16"/>
        <v>-796039115983.84424</v>
      </c>
      <c r="O66" s="184">
        <f t="shared" si="57"/>
        <v>199009778995961</v>
      </c>
      <c r="P66" s="185">
        <f t="shared" si="70"/>
        <v>8308603904051060</v>
      </c>
      <c r="Q66" s="186">
        <f t="shared" si="58"/>
        <v>1186943414864.4373</v>
      </c>
      <c r="R66" s="187">
        <f t="shared" si="20"/>
        <v>42</v>
      </c>
      <c r="S66" s="188">
        <f t="shared" si="21"/>
        <v>0.02</v>
      </c>
      <c r="T66" s="189">
        <f t="shared" si="22"/>
        <v>14</v>
      </c>
      <c r="U66" s="188">
        <f t="shared" si="23"/>
        <v>0.01</v>
      </c>
      <c r="V66" s="190"/>
      <c r="W66" s="191">
        <f t="shared" si="59"/>
        <v>2109901676915180</v>
      </c>
      <c r="X66" s="192">
        <f t="shared" si="60"/>
        <v>1.04185055809662E+16</v>
      </c>
      <c r="Y66" s="193">
        <f t="shared" si="61"/>
        <v>0.25</v>
      </c>
      <c r="Z66" s="193">
        <f t="shared" si="62"/>
        <v>301414525273.59998</v>
      </c>
      <c r="AA66" s="194"/>
      <c r="AB66" s="195">
        <f t="shared" si="63"/>
        <v>-1.04185055809592E+16</v>
      </c>
      <c r="AC66" s="193">
        <f t="shared" si="64"/>
        <v>1488357940138.03</v>
      </c>
      <c r="AD66" s="196">
        <f t="shared" si="65"/>
        <v>0</v>
      </c>
      <c r="AE66" s="196">
        <f t="shared" si="66"/>
        <v>0</v>
      </c>
      <c r="AF66" s="179">
        <v>50</v>
      </c>
    </row>
    <row r="67" spans="1:32" s="10" customFormat="1" ht="15" customHeight="1" x14ac:dyDescent="0.2">
      <c r="A67" s="162">
        <v>51</v>
      </c>
      <c r="B67" s="106">
        <f t="shared" si="67"/>
        <v>-1</v>
      </c>
      <c r="C67" s="163">
        <f t="shared" si="68"/>
        <v>-29</v>
      </c>
      <c r="D67" s="155"/>
      <c r="E67" s="106">
        <f t="shared" si="52"/>
        <v>1</v>
      </c>
      <c r="F67" s="164">
        <f t="shared" ref="F67:G67" si="87">F66+E67</f>
        <v>64</v>
      </c>
      <c r="G67" s="165">
        <f t="shared" si="87"/>
        <v>1976</v>
      </c>
      <c r="H67" s="155"/>
      <c r="I67" s="107">
        <f t="shared" si="54"/>
        <v>2.54</v>
      </c>
      <c r="J67" s="166">
        <f t="shared" si="55"/>
        <v>30380837211045.801</v>
      </c>
      <c r="K67" s="167">
        <f t="shared" si="19"/>
        <v>50281815110641.906</v>
      </c>
      <c r="L67" s="155"/>
      <c r="M67" s="168">
        <f t="shared" si="56"/>
        <v>-1.45817263820862E+16</v>
      </c>
      <c r="N67" s="218">
        <f t="shared" si="16"/>
        <v>-2083103768869.457</v>
      </c>
      <c r="O67" s="168">
        <f t="shared" si="57"/>
        <v>502818151106419</v>
      </c>
      <c r="P67" s="169">
        <f t="shared" si="70"/>
        <v>2.10452297597926E+16</v>
      </c>
      <c r="Q67" s="170">
        <f t="shared" si="58"/>
        <v>3006461394256.0859</v>
      </c>
      <c r="R67" s="156">
        <f t="shared" si="20"/>
        <v>42</v>
      </c>
      <c r="S67" s="171">
        <f t="shared" si="21"/>
        <v>0.02</v>
      </c>
      <c r="T67" s="172">
        <f t="shared" si="22"/>
        <v>13</v>
      </c>
      <c r="U67" s="173">
        <f t="shared" si="23"/>
        <v>0.01</v>
      </c>
      <c r="V67" s="155"/>
      <c r="W67" s="174">
        <f t="shared" si="59"/>
        <v>5330878038030250</v>
      </c>
      <c r="X67" s="175">
        <f t="shared" si="60"/>
        <v>2.63761077978228E+16</v>
      </c>
      <c r="Y67" s="176">
        <f t="shared" si="61"/>
        <v>0.25</v>
      </c>
      <c r="Z67" s="176">
        <f t="shared" si="62"/>
        <v>761554005432.89001</v>
      </c>
      <c r="AA67" s="155"/>
      <c r="AB67" s="177">
        <f t="shared" si="63"/>
        <v>-2.63761077978158E+16</v>
      </c>
      <c r="AC67" s="176">
        <f t="shared" si="64"/>
        <v>3768015399688.9702</v>
      </c>
      <c r="AD67" s="178">
        <f t="shared" si="65"/>
        <v>0</v>
      </c>
      <c r="AE67" s="178">
        <f t="shared" si="66"/>
        <v>0</v>
      </c>
      <c r="AF67" s="179">
        <v>51</v>
      </c>
    </row>
    <row r="68" spans="1:32" s="10" customFormat="1" ht="15" customHeight="1" x14ac:dyDescent="0.2">
      <c r="A68" s="162">
        <v>52</v>
      </c>
      <c r="B68" s="106">
        <f t="shared" si="67"/>
        <v>-1</v>
      </c>
      <c r="C68" s="163">
        <f t="shared" si="68"/>
        <v>-30</v>
      </c>
      <c r="D68" s="155"/>
      <c r="E68" s="106">
        <f t="shared" si="52"/>
        <v>1</v>
      </c>
      <c r="F68" s="164">
        <f t="shared" ref="F68:G68" si="88">F67+E68</f>
        <v>65</v>
      </c>
      <c r="G68" s="165">
        <f t="shared" si="88"/>
        <v>2041</v>
      </c>
      <c r="H68" s="155"/>
      <c r="I68" s="107">
        <f t="shared" si="54"/>
        <v>2.56</v>
      </c>
      <c r="J68" s="166">
        <f t="shared" si="55"/>
        <v>77774943260277.203</v>
      </c>
      <c r="K68" s="167">
        <f t="shared" si="19"/>
        <v>128056758370919.11</v>
      </c>
      <c r="L68" s="155"/>
      <c r="M68" s="168">
        <f t="shared" si="56"/>
        <v>-3.8417027511275696E+16</v>
      </c>
      <c r="N68" s="218">
        <f t="shared" si="16"/>
        <v>-5488146787325.0996</v>
      </c>
      <c r="O68" s="168">
        <f t="shared" si="57"/>
        <v>1280567583709190</v>
      </c>
      <c r="P68" s="169">
        <f t="shared" si="70"/>
        <v>5.37284095817098E+16</v>
      </c>
      <c r="Q68" s="170">
        <f t="shared" si="58"/>
        <v>7675487083101.4004</v>
      </c>
      <c r="R68" s="156">
        <f t="shared" si="20"/>
        <v>42</v>
      </c>
      <c r="S68" s="171">
        <f t="shared" si="21"/>
        <v>0.02</v>
      </c>
      <c r="T68" s="172">
        <f t="shared" si="22"/>
        <v>12</v>
      </c>
      <c r="U68" s="173">
        <f t="shared" si="23"/>
        <v>0.01</v>
      </c>
      <c r="V68" s="155"/>
      <c r="W68" s="174">
        <f t="shared" si="59"/>
        <v>1.35765775224848E+16</v>
      </c>
      <c r="X68" s="175">
        <f t="shared" si="60"/>
        <v>6.73049871041946E+16</v>
      </c>
      <c r="Y68" s="176">
        <f t="shared" si="61"/>
        <v>0.25</v>
      </c>
      <c r="Z68" s="176">
        <f t="shared" si="62"/>
        <v>1939511074640.6899</v>
      </c>
      <c r="AA68" s="155"/>
      <c r="AB68" s="177">
        <f t="shared" si="63"/>
        <v>-6.73049871041876E+16</v>
      </c>
      <c r="AC68" s="176">
        <f t="shared" si="64"/>
        <v>9614998157742.0898</v>
      </c>
      <c r="AD68" s="178">
        <f t="shared" si="65"/>
        <v>0</v>
      </c>
      <c r="AE68" s="178">
        <f t="shared" si="66"/>
        <v>0</v>
      </c>
      <c r="AF68" s="179">
        <v>52</v>
      </c>
    </row>
    <row r="69" spans="1:32" s="10" customFormat="1" ht="15" customHeight="1" x14ac:dyDescent="0.2">
      <c r="A69" s="162">
        <v>53</v>
      </c>
      <c r="B69" s="106">
        <f t="shared" si="67"/>
        <v>-1</v>
      </c>
      <c r="C69" s="163">
        <f t="shared" si="68"/>
        <v>-31</v>
      </c>
      <c r="D69" s="155"/>
      <c r="E69" s="106">
        <f t="shared" si="52"/>
        <v>1</v>
      </c>
      <c r="F69" s="164">
        <f t="shared" ref="F69:G69" si="89">F68+E69</f>
        <v>66</v>
      </c>
      <c r="G69" s="165">
        <f t="shared" si="89"/>
        <v>2107</v>
      </c>
      <c r="H69" s="155"/>
      <c r="I69" s="107">
        <f t="shared" si="54"/>
        <v>2.58</v>
      </c>
      <c r="J69" s="166">
        <f t="shared" si="55"/>
        <v>200659353611515</v>
      </c>
      <c r="K69" s="167">
        <f t="shared" si="19"/>
        <v>328716111982434.12</v>
      </c>
      <c r="L69" s="155"/>
      <c r="M69" s="168">
        <f t="shared" si="56"/>
        <v>-1.0190199471455501E+17</v>
      </c>
      <c r="N69" s="218">
        <f t="shared" si="16"/>
        <v>-14557427816365.002</v>
      </c>
      <c r="O69" s="168">
        <f t="shared" si="57"/>
        <v>3287161119824340</v>
      </c>
      <c r="P69" s="169">
        <f t="shared" si="70"/>
        <v>1.38245870106516E+17</v>
      </c>
      <c r="Q69" s="170">
        <f t="shared" si="58"/>
        <v>19749410015216.57</v>
      </c>
      <c r="R69" s="156">
        <f t="shared" si="20"/>
        <v>42</v>
      </c>
      <c r="S69" s="171">
        <f t="shared" si="21"/>
        <v>0.02</v>
      </c>
      <c r="T69" s="172">
        <f t="shared" si="22"/>
        <v>11</v>
      </c>
      <c r="U69" s="173">
        <f t="shared" si="23"/>
        <v>0.01</v>
      </c>
      <c r="V69" s="155"/>
      <c r="W69" s="174">
        <f t="shared" si="59"/>
        <v>3.48504821923777E+16</v>
      </c>
      <c r="X69" s="175">
        <f t="shared" si="60"/>
        <v>1.7309635229889402E+17</v>
      </c>
      <c r="Y69" s="176">
        <f t="shared" si="61"/>
        <v>0.25</v>
      </c>
      <c r="Z69" s="176">
        <f t="shared" si="62"/>
        <v>4978640313196.8096</v>
      </c>
      <c r="AA69" s="155"/>
      <c r="AB69" s="177">
        <f t="shared" si="63"/>
        <v>-1.7309635229888701E+17</v>
      </c>
      <c r="AC69" s="176">
        <f t="shared" si="64"/>
        <v>24728050328413.398</v>
      </c>
      <c r="AD69" s="178">
        <f t="shared" si="65"/>
        <v>0</v>
      </c>
      <c r="AE69" s="178">
        <f t="shared" si="66"/>
        <v>0</v>
      </c>
      <c r="AF69" s="179">
        <v>53</v>
      </c>
    </row>
    <row r="70" spans="1:32" s="10" customFormat="1" ht="15" customHeight="1" x14ac:dyDescent="0.2">
      <c r="A70" s="162">
        <v>54</v>
      </c>
      <c r="B70" s="106">
        <f t="shared" si="67"/>
        <v>-1</v>
      </c>
      <c r="C70" s="163">
        <f t="shared" si="68"/>
        <v>-32</v>
      </c>
      <c r="D70" s="155"/>
      <c r="E70" s="106">
        <f t="shared" si="52"/>
        <v>1</v>
      </c>
      <c r="F70" s="164">
        <f t="shared" ref="F70:G70" si="90">F69+E70</f>
        <v>67</v>
      </c>
      <c r="G70" s="165">
        <f t="shared" si="90"/>
        <v>2174</v>
      </c>
      <c r="H70" s="155"/>
      <c r="I70" s="107">
        <f t="shared" si="54"/>
        <v>2.6</v>
      </c>
      <c r="J70" s="166">
        <f t="shared" si="55"/>
        <v>521714319389939</v>
      </c>
      <c r="K70" s="167">
        <f t="shared" si="19"/>
        <v>850430431372373.12</v>
      </c>
      <c r="L70" s="155"/>
      <c r="M70" s="168">
        <f t="shared" si="56"/>
        <v>-2.7213773803915901E+17</v>
      </c>
      <c r="N70" s="218">
        <f t="shared" si="16"/>
        <v>-38876819719879.859</v>
      </c>
      <c r="O70" s="168">
        <f t="shared" si="57"/>
        <v>8504304313723730</v>
      </c>
      <c r="P70" s="169">
        <f t="shared" si="70"/>
        <v>3.5848566513474701E+17</v>
      </c>
      <c r="Q70" s="170">
        <f t="shared" si="58"/>
        <v>51212237876392.43</v>
      </c>
      <c r="R70" s="156">
        <f t="shared" si="20"/>
        <v>42</v>
      </c>
      <c r="S70" s="171">
        <f t="shared" si="21"/>
        <v>0.02</v>
      </c>
      <c r="T70" s="172">
        <f t="shared" si="22"/>
        <v>10</v>
      </c>
      <c r="U70" s="173">
        <f t="shared" si="23"/>
        <v>0</v>
      </c>
      <c r="V70" s="155"/>
      <c r="W70" s="174">
        <f t="shared" si="59"/>
        <v>9.0162634334099008E+16</v>
      </c>
      <c r="X70" s="175">
        <f t="shared" si="60"/>
        <v>4.4864829946884602E+17</v>
      </c>
      <c r="Y70" s="176">
        <f t="shared" si="61"/>
        <v>0.25</v>
      </c>
      <c r="Z70" s="176">
        <f t="shared" si="62"/>
        <v>12880376333442.699</v>
      </c>
      <c r="AA70" s="155"/>
      <c r="AB70" s="177">
        <f t="shared" si="63"/>
        <v>-4.4864829946883898E+17</v>
      </c>
      <c r="AC70" s="176">
        <f t="shared" si="64"/>
        <v>64092614209835.102</v>
      </c>
      <c r="AD70" s="178">
        <f t="shared" si="65"/>
        <v>0</v>
      </c>
      <c r="AE70" s="178">
        <f t="shared" si="66"/>
        <v>0</v>
      </c>
      <c r="AF70" s="179">
        <v>54</v>
      </c>
    </row>
    <row r="71" spans="1:32" s="10" customFormat="1" ht="15" customHeight="1" x14ac:dyDescent="0.2">
      <c r="A71" s="162">
        <v>55</v>
      </c>
      <c r="B71" s="108">
        <f t="shared" si="67"/>
        <v>-1</v>
      </c>
      <c r="C71" s="180">
        <f t="shared" si="68"/>
        <v>-33</v>
      </c>
      <c r="D71" s="181"/>
      <c r="E71" s="108">
        <f t="shared" si="52"/>
        <v>1</v>
      </c>
      <c r="F71" s="180">
        <f t="shared" ref="F71:G71" si="91">F70+E71</f>
        <v>68</v>
      </c>
      <c r="G71" s="180">
        <f t="shared" si="91"/>
        <v>2242</v>
      </c>
      <c r="H71" s="181"/>
      <c r="I71" s="109">
        <f t="shared" si="54"/>
        <v>2.62</v>
      </c>
      <c r="J71" s="182">
        <f t="shared" si="55"/>
        <v>1366891516801640</v>
      </c>
      <c r="K71" s="182">
        <f t="shared" si="19"/>
        <v>2217321948174013</v>
      </c>
      <c r="L71" s="183"/>
      <c r="M71" s="184">
        <f t="shared" si="56"/>
        <v>-7.3171624289742298E+17</v>
      </c>
      <c r="N71" s="219">
        <f t="shared" si="16"/>
        <v>-104530891842489</v>
      </c>
      <c r="O71" s="184">
        <f t="shared" si="57"/>
        <v>2.21732194817401E+16</v>
      </c>
      <c r="P71" s="185">
        <f t="shared" si="70"/>
        <v>9.3677835846796096E+17</v>
      </c>
      <c r="Q71" s="186">
        <f t="shared" si="58"/>
        <v>133825479781137.28</v>
      </c>
      <c r="R71" s="187">
        <f t="shared" si="20"/>
        <v>42</v>
      </c>
      <c r="S71" s="188">
        <f t="shared" si="21"/>
        <v>0.02</v>
      </c>
      <c r="T71" s="189">
        <f t="shared" si="22"/>
        <v>9</v>
      </c>
      <c r="U71" s="188">
        <f t="shared" si="23"/>
        <v>0</v>
      </c>
      <c r="V71" s="190"/>
      <c r="W71" s="191">
        <f t="shared" si="59"/>
        <v>2.3508047294540899E+17</v>
      </c>
      <c r="X71" s="192">
        <f t="shared" si="60"/>
        <v>1.1718588314133701E+18</v>
      </c>
      <c r="Y71" s="193">
        <f t="shared" si="61"/>
        <v>0.25</v>
      </c>
      <c r="Z71" s="193">
        <f t="shared" si="62"/>
        <v>33582924706487</v>
      </c>
      <c r="AA71" s="194"/>
      <c r="AB71" s="195">
        <f t="shared" si="63"/>
        <v>-1.1718588314133601E+18</v>
      </c>
      <c r="AC71" s="193">
        <f t="shared" si="64"/>
        <v>167408404487624</v>
      </c>
      <c r="AD71" s="196">
        <f t="shared" si="65"/>
        <v>0</v>
      </c>
      <c r="AE71" s="196">
        <f t="shared" si="66"/>
        <v>0</v>
      </c>
      <c r="AF71" s="179">
        <v>55</v>
      </c>
    </row>
    <row r="72" spans="1:32" s="10" customFormat="1" ht="15" customHeight="1" x14ac:dyDescent="0.2">
      <c r="A72" s="162">
        <v>56</v>
      </c>
      <c r="B72" s="106">
        <f t="shared" si="67"/>
        <v>-1</v>
      </c>
      <c r="C72" s="163">
        <f t="shared" si="68"/>
        <v>-34</v>
      </c>
      <c r="D72" s="155"/>
      <c r="E72" s="106">
        <f t="shared" si="52"/>
        <v>1</v>
      </c>
      <c r="F72" s="164">
        <f t="shared" ref="F72:G72" si="92">F71+E72</f>
        <v>69</v>
      </c>
      <c r="G72" s="165">
        <f t="shared" si="92"/>
        <v>2311</v>
      </c>
      <c r="H72" s="155"/>
      <c r="I72" s="107">
        <f t="shared" si="54"/>
        <v>2.64</v>
      </c>
      <c r="J72" s="166">
        <f t="shared" si="55"/>
        <v>3608593604356330</v>
      </c>
      <c r="K72" s="167">
        <f t="shared" si="19"/>
        <v>5825915552530343</v>
      </c>
      <c r="L72" s="155"/>
      <c r="M72" s="168">
        <f t="shared" si="56"/>
        <v>-1.98081128786032E+18</v>
      </c>
      <c r="N72" s="218">
        <f t="shared" si="16"/>
        <v>-282973041122902.87</v>
      </c>
      <c r="O72" s="168">
        <f t="shared" si="57"/>
        <v>5.82591555253034E+16</v>
      </c>
      <c r="P72" s="169">
        <f t="shared" si="70"/>
        <v>2.46673050270803E+18</v>
      </c>
      <c r="Q72" s="170">
        <f t="shared" si="58"/>
        <v>352390071815432.87</v>
      </c>
      <c r="R72" s="156">
        <f t="shared" si="20"/>
        <v>42</v>
      </c>
      <c r="S72" s="171">
        <f t="shared" si="21"/>
        <v>0.02</v>
      </c>
      <c r="T72" s="172">
        <f t="shared" si="22"/>
        <v>8</v>
      </c>
      <c r="U72" s="173">
        <f t="shared" si="23"/>
        <v>0</v>
      </c>
      <c r="V72" s="155"/>
      <c r="W72" s="174">
        <f t="shared" si="59"/>
        <v>6.1766356687926694E+17</v>
      </c>
      <c r="X72" s="175">
        <f t="shared" si="60"/>
        <v>3.0843940695872998E+18</v>
      </c>
      <c r="Y72" s="176">
        <f t="shared" si="61"/>
        <v>0.25</v>
      </c>
      <c r="Z72" s="176">
        <f t="shared" si="62"/>
        <v>88237652411323.797</v>
      </c>
      <c r="AA72" s="155"/>
      <c r="AB72" s="177">
        <f t="shared" si="63"/>
        <v>-3.0843940695872901E+18</v>
      </c>
      <c r="AC72" s="176">
        <f t="shared" si="64"/>
        <v>440627724226757</v>
      </c>
      <c r="AD72" s="178">
        <f t="shared" si="65"/>
        <v>0</v>
      </c>
      <c r="AE72" s="178">
        <f t="shared" si="66"/>
        <v>0</v>
      </c>
      <c r="AF72" s="179">
        <v>56</v>
      </c>
    </row>
    <row r="73" spans="1:32" s="10" customFormat="1" ht="15" customHeight="1" x14ac:dyDescent="0.2">
      <c r="A73" s="162">
        <v>57</v>
      </c>
      <c r="B73" s="106">
        <f t="shared" si="67"/>
        <v>-1</v>
      </c>
      <c r="C73" s="163">
        <f t="shared" si="68"/>
        <v>-35</v>
      </c>
      <c r="D73" s="155"/>
      <c r="E73" s="106">
        <f t="shared" si="52"/>
        <v>1</v>
      </c>
      <c r="F73" s="164">
        <f t="shared" ref="F73:G73" si="93">F72+E73</f>
        <v>70</v>
      </c>
      <c r="G73" s="165">
        <f t="shared" si="93"/>
        <v>2381</v>
      </c>
      <c r="H73" s="155"/>
      <c r="I73" s="107">
        <f t="shared" si="54"/>
        <v>2.66</v>
      </c>
      <c r="J73" s="166">
        <f t="shared" si="55"/>
        <v>9598858987587840</v>
      </c>
      <c r="K73" s="167">
        <f t="shared" si="19"/>
        <v>1.5424774540118184E+16</v>
      </c>
      <c r="L73" s="155"/>
      <c r="M73" s="168">
        <f t="shared" si="56"/>
        <v>-5.3986710890413701E+18</v>
      </c>
      <c r="N73" s="218">
        <f t="shared" si="16"/>
        <v>-771238727005910</v>
      </c>
      <c r="O73" s="168">
        <f t="shared" si="57"/>
        <v>1.5424774540118202E+17</v>
      </c>
      <c r="P73" s="169">
        <f t="shared" si="70"/>
        <v>6.5448713894792704E+18</v>
      </c>
      <c r="Q73" s="170">
        <f t="shared" si="58"/>
        <v>934981627068467.25</v>
      </c>
      <c r="R73" s="156">
        <f t="shared" si="20"/>
        <v>42</v>
      </c>
      <c r="S73" s="171">
        <f t="shared" si="21"/>
        <v>0.02</v>
      </c>
      <c r="T73" s="172">
        <f t="shared" si="22"/>
        <v>7</v>
      </c>
      <c r="U73" s="173">
        <f t="shared" si="23"/>
        <v>0</v>
      </c>
      <c r="V73" s="155"/>
      <c r="W73" s="174">
        <f t="shared" si="59"/>
        <v>1.63533459674333E+18</v>
      </c>
      <c r="X73" s="175">
        <f t="shared" si="60"/>
        <v>8.1802059862226002E+18</v>
      </c>
      <c r="Y73" s="176">
        <f t="shared" si="61"/>
        <v>0.25</v>
      </c>
      <c r="Z73" s="176">
        <f t="shared" si="62"/>
        <v>233619228106190</v>
      </c>
      <c r="AA73" s="155"/>
      <c r="AB73" s="177">
        <f t="shared" si="63"/>
        <v>-8.18020598622259E+18</v>
      </c>
      <c r="AC73" s="176">
        <f t="shared" si="64"/>
        <v>1168600855174660</v>
      </c>
      <c r="AD73" s="178">
        <f t="shared" si="65"/>
        <v>0</v>
      </c>
      <c r="AE73" s="178">
        <f t="shared" si="66"/>
        <v>0</v>
      </c>
      <c r="AF73" s="179">
        <v>57</v>
      </c>
    </row>
    <row r="74" spans="1:32" s="10" customFormat="1" ht="15" customHeight="1" x14ac:dyDescent="0.2">
      <c r="A74" s="162">
        <v>58</v>
      </c>
      <c r="B74" s="106">
        <f t="shared" si="67"/>
        <v>-1</v>
      </c>
      <c r="C74" s="163">
        <f t="shared" si="68"/>
        <v>-36</v>
      </c>
      <c r="D74" s="155"/>
      <c r="E74" s="106">
        <f t="shared" si="52"/>
        <v>1</v>
      </c>
      <c r="F74" s="164">
        <f t="shared" ref="F74:G74" si="94">F73+E74</f>
        <v>71</v>
      </c>
      <c r="G74" s="165">
        <f t="shared" si="94"/>
        <v>2452</v>
      </c>
      <c r="H74" s="155"/>
      <c r="I74" s="107">
        <f t="shared" si="54"/>
        <v>2.68</v>
      </c>
      <c r="J74" s="166">
        <f t="shared" si="55"/>
        <v>2.57249420867354E+16</v>
      </c>
      <c r="K74" s="167">
        <f t="shared" si="19"/>
        <v>4.1149716626853584E+16</v>
      </c>
      <c r="L74" s="155"/>
      <c r="M74" s="168">
        <f t="shared" si="56"/>
        <v>-1.4813897985667299E+19</v>
      </c>
      <c r="N74" s="218">
        <f t="shared" si="16"/>
        <v>-2116271140809614.2</v>
      </c>
      <c r="O74" s="168">
        <f t="shared" si="57"/>
        <v>4.11497166268536E+17</v>
      </c>
      <c r="P74" s="169">
        <f t="shared" si="70"/>
        <v>1.7496461312963199E+19</v>
      </c>
      <c r="Q74" s="170">
        <f t="shared" si="58"/>
        <v>2499494473280457</v>
      </c>
      <c r="R74" s="156">
        <f t="shared" si="20"/>
        <v>43</v>
      </c>
      <c r="S74" s="171">
        <f t="shared" si="21"/>
        <v>0.02</v>
      </c>
      <c r="T74" s="172">
        <f t="shared" si="22"/>
        <v>7</v>
      </c>
      <c r="U74" s="173">
        <f t="shared" si="23"/>
        <v>0</v>
      </c>
      <c r="V74" s="155"/>
      <c r="W74" s="174">
        <f t="shared" si="59"/>
        <v>4.3626929567790198E+18</v>
      </c>
      <c r="X74" s="175">
        <f t="shared" si="60"/>
        <v>2.1859154269742199E+19</v>
      </c>
      <c r="Y74" s="176">
        <f t="shared" si="61"/>
        <v>0.25</v>
      </c>
      <c r="Z74" s="176">
        <f t="shared" si="62"/>
        <v>623241850968431</v>
      </c>
      <c r="AA74" s="155"/>
      <c r="AB74" s="177">
        <f t="shared" si="63"/>
        <v>-2.1859154269742199E+19</v>
      </c>
      <c r="AC74" s="176">
        <f t="shared" si="64"/>
        <v>3122736324248890</v>
      </c>
      <c r="AD74" s="178">
        <f t="shared" si="65"/>
        <v>0</v>
      </c>
      <c r="AE74" s="178">
        <f t="shared" si="66"/>
        <v>0</v>
      </c>
      <c r="AF74" s="179">
        <v>58</v>
      </c>
    </row>
    <row r="75" spans="1:32" s="10" customFormat="1" ht="15" customHeight="1" x14ac:dyDescent="0.2">
      <c r="A75" s="162">
        <v>59</v>
      </c>
      <c r="B75" s="106">
        <f t="shared" si="67"/>
        <v>-1</v>
      </c>
      <c r="C75" s="163">
        <f t="shared" si="68"/>
        <v>-37</v>
      </c>
      <c r="D75" s="155"/>
      <c r="E75" s="106">
        <f t="shared" si="52"/>
        <v>1</v>
      </c>
      <c r="F75" s="164">
        <f t="shared" ref="F75:G75" si="95">F74+E75</f>
        <v>72</v>
      </c>
      <c r="G75" s="165">
        <f t="shared" si="95"/>
        <v>2524</v>
      </c>
      <c r="H75" s="155"/>
      <c r="I75" s="107">
        <f t="shared" si="54"/>
        <v>2.7</v>
      </c>
      <c r="J75" s="166">
        <f t="shared" si="55"/>
        <v>6.94573436341856E+16</v>
      </c>
      <c r="K75" s="167">
        <f t="shared" si="19"/>
        <v>1.1060706026103918E+17</v>
      </c>
      <c r="L75" s="155"/>
      <c r="M75" s="168">
        <f t="shared" si="56"/>
        <v>-4.0924612296584397E+19</v>
      </c>
      <c r="N75" s="218">
        <f t="shared" si="16"/>
        <v>-5846373185226342</v>
      </c>
      <c r="O75" s="168">
        <f t="shared" si="57"/>
        <v>1.10607060261039E+18</v>
      </c>
      <c r="P75" s="169">
        <f t="shared" si="70"/>
        <v>4.7124257284297802E+19</v>
      </c>
      <c r="Q75" s="170">
        <f t="shared" si="58"/>
        <v>6732036754899686</v>
      </c>
      <c r="R75" s="156">
        <f t="shared" si="20"/>
        <v>43</v>
      </c>
      <c r="S75" s="171">
        <f t="shared" si="21"/>
        <v>0.02</v>
      </c>
      <c r="T75" s="172">
        <f t="shared" si="22"/>
        <v>6</v>
      </c>
      <c r="U75" s="173">
        <f t="shared" si="23"/>
        <v>0</v>
      </c>
      <c r="V75" s="155"/>
      <c r="W75" s="174">
        <f t="shared" si="59"/>
        <v>1.1726560528875399E+19</v>
      </c>
      <c r="X75" s="175">
        <f t="shared" si="60"/>
        <v>5.8850817813173199E+19</v>
      </c>
      <c r="Y75" s="176">
        <f t="shared" si="61"/>
        <v>0.25</v>
      </c>
      <c r="Z75" s="176">
        <f t="shared" si="62"/>
        <v>1675222932696490</v>
      </c>
      <c r="AA75" s="155"/>
      <c r="AB75" s="177">
        <f t="shared" si="63"/>
        <v>-5.8850817813173199E+19</v>
      </c>
      <c r="AC75" s="176">
        <f t="shared" si="64"/>
        <v>8407259687596170</v>
      </c>
      <c r="AD75" s="178">
        <f t="shared" si="65"/>
        <v>0</v>
      </c>
      <c r="AE75" s="178">
        <f t="shared" si="66"/>
        <v>0</v>
      </c>
      <c r="AF75" s="179">
        <v>59</v>
      </c>
    </row>
    <row r="76" spans="1:32" s="10" customFormat="1" ht="15" customHeight="1" x14ac:dyDescent="0.2">
      <c r="A76" s="162">
        <v>60</v>
      </c>
      <c r="B76" s="108">
        <f t="shared" si="67"/>
        <v>-1</v>
      </c>
      <c r="C76" s="180">
        <f t="shared" si="68"/>
        <v>-38</v>
      </c>
      <c r="D76" s="181"/>
      <c r="E76" s="108">
        <f t="shared" si="52"/>
        <v>1</v>
      </c>
      <c r="F76" s="180">
        <f t="shared" ref="F76:G76" si="96">F75+E76</f>
        <v>73</v>
      </c>
      <c r="G76" s="180">
        <f t="shared" si="96"/>
        <v>2597</v>
      </c>
      <c r="H76" s="181"/>
      <c r="I76" s="109">
        <f t="shared" si="54"/>
        <v>2.72</v>
      </c>
      <c r="J76" s="182">
        <f t="shared" si="55"/>
        <v>1.8892397468498499E+17</v>
      </c>
      <c r="K76" s="182">
        <f t="shared" si="19"/>
        <v>2.9953103494602419E+17</v>
      </c>
      <c r="L76" s="183"/>
      <c r="M76" s="184">
        <f t="shared" si="56"/>
        <v>-1.13821793279489E+20</v>
      </c>
      <c r="N76" s="219">
        <f t="shared" si="16"/>
        <v>-1.6260256182784142E+16</v>
      </c>
      <c r="O76" s="184">
        <f t="shared" si="57"/>
        <v>2.9953103494602399E+18</v>
      </c>
      <c r="P76" s="185">
        <f t="shared" si="70"/>
        <v>1.2786741127485601E+20</v>
      </c>
      <c r="Q76" s="186">
        <f t="shared" si="58"/>
        <v>1.8266773039265144E+16</v>
      </c>
      <c r="R76" s="187">
        <f t="shared" si="20"/>
        <v>43</v>
      </c>
      <c r="S76" s="188">
        <f t="shared" si="21"/>
        <v>0.02</v>
      </c>
      <c r="T76" s="189">
        <f t="shared" si="22"/>
        <v>5</v>
      </c>
      <c r="U76" s="188">
        <f t="shared" si="23"/>
        <v>0</v>
      </c>
      <c r="V76" s="190"/>
      <c r="W76" s="191">
        <f t="shared" si="59"/>
        <v>3.17562803249775E+19</v>
      </c>
      <c r="X76" s="192">
        <f t="shared" si="60"/>
        <v>1.5962369159983301E+20</v>
      </c>
      <c r="Y76" s="193">
        <f t="shared" si="61"/>
        <v>0.25</v>
      </c>
      <c r="Z76" s="193">
        <f t="shared" si="62"/>
        <v>4536611474996790</v>
      </c>
      <c r="AA76" s="194"/>
      <c r="AB76" s="195">
        <f t="shared" si="63"/>
        <v>-1.5962369159983301E+20</v>
      </c>
      <c r="AC76" s="193">
        <f t="shared" si="64"/>
        <v>2.28033845142619E+16</v>
      </c>
      <c r="AD76" s="196">
        <f t="shared" si="65"/>
        <v>0</v>
      </c>
      <c r="AE76" s="196">
        <f t="shared" si="66"/>
        <v>0</v>
      </c>
      <c r="AF76" s="179">
        <v>60</v>
      </c>
    </row>
    <row r="77" spans="1:32" s="10" customFormat="1" ht="15" customHeight="1" x14ac:dyDescent="0.2">
      <c r="A77" s="162">
        <v>61</v>
      </c>
      <c r="B77" s="106">
        <f t="shared" si="67"/>
        <v>-1</v>
      </c>
      <c r="C77" s="163">
        <f t="shared" si="68"/>
        <v>-39</v>
      </c>
      <c r="D77" s="155"/>
      <c r="E77" s="106">
        <f t="shared" si="52"/>
        <v>1</v>
      </c>
      <c r="F77" s="164">
        <f t="shared" ref="F77:G77" si="97">F76+E77</f>
        <v>74</v>
      </c>
      <c r="G77" s="165">
        <f t="shared" si="97"/>
        <v>2671</v>
      </c>
      <c r="H77" s="155"/>
      <c r="I77" s="107">
        <f t="shared" si="54"/>
        <v>2.74</v>
      </c>
      <c r="J77" s="166">
        <f t="shared" si="55"/>
        <v>5.1765169063685901E+17</v>
      </c>
      <c r="K77" s="167">
        <f t="shared" si="19"/>
        <v>8.171827255828832E+17</v>
      </c>
      <c r="L77" s="155"/>
      <c r="M77" s="168">
        <f t="shared" si="56"/>
        <v>-3.1870126297732402E+20</v>
      </c>
      <c r="N77" s="218">
        <f t="shared" si="16"/>
        <v>-4.5528751853903432E+16</v>
      </c>
      <c r="O77" s="168">
        <f t="shared" si="57"/>
        <v>8.1718272558288302E+18</v>
      </c>
      <c r="P77" s="169">
        <f t="shared" si="70"/>
        <v>3.4952037713491401E+20</v>
      </c>
      <c r="Q77" s="170">
        <f t="shared" si="58"/>
        <v>4.9931482447844856E+16</v>
      </c>
      <c r="R77" s="156">
        <f t="shared" si="20"/>
        <v>43</v>
      </c>
      <c r="S77" s="171">
        <f t="shared" si="21"/>
        <v>0.02</v>
      </c>
      <c r="T77" s="172">
        <f t="shared" si="22"/>
        <v>4</v>
      </c>
      <c r="U77" s="173">
        <f t="shared" si="23"/>
        <v>0</v>
      </c>
      <c r="V77" s="155"/>
      <c r="W77" s="174">
        <f t="shared" si="59"/>
        <v>8.6637712566297297E+19</v>
      </c>
      <c r="X77" s="175">
        <f t="shared" si="60"/>
        <v>4.3615808970121098E+20</v>
      </c>
      <c r="Y77" s="176">
        <f t="shared" si="61"/>
        <v>0.25</v>
      </c>
      <c r="Z77" s="176">
        <f t="shared" si="62"/>
        <v>1.23768160808996E+16</v>
      </c>
      <c r="AA77" s="155"/>
      <c r="AB77" s="177">
        <f t="shared" si="63"/>
        <v>-4.3615808970121098E+20</v>
      </c>
      <c r="AC77" s="176">
        <f t="shared" si="64"/>
        <v>6.23082985287444E+16</v>
      </c>
      <c r="AD77" s="178">
        <f t="shared" si="65"/>
        <v>0</v>
      </c>
      <c r="AE77" s="178">
        <f t="shared" si="66"/>
        <v>0</v>
      </c>
      <c r="AF77" s="179">
        <v>61</v>
      </c>
    </row>
    <row r="78" spans="1:32" s="10" customFormat="1" ht="15" customHeight="1" x14ac:dyDescent="0.2">
      <c r="A78" s="162">
        <v>62</v>
      </c>
      <c r="B78" s="106">
        <f t="shared" si="67"/>
        <v>-1</v>
      </c>
      <c r="C78" s="163">
        <f t="shared" si="68"/>
        <v>-40</v>
      </c>
      <c r="D78" s="155"/>
      <c r="E78" s="106">
        <f t="shared" si="52"/>
        <v>1</v>
      </c>
      <c r="F78" s="164">
        <f t="shared" ref="F78:G78" si="98">F77+E78</f>
        <v>75</v>
      </c>
      <c r="G78" s="165">
        <f t="shared" si="98"/>
        <v>2746</v>
      </c>
      <c r="H78" s="155"/>
      <c r="I78" s="107">
        <f t="shared" si="54"/>
        <v>2.76</v>
      </c>
      <c r="J78" s="166">
        <f t="shared" si="55"/>
        <v>1.42871866615773E+18</v>
      </c>
      <c r="K78" s="167">
        <f t="shared" si="19"/>
        <v>2.2459013917406131E+18</v>
      </c>
      <c r="L78" s="155"/>
      <c r="M78" s="168">
        <f t="shared" si="56"/>
        <v>-8.9836055669624406E+20</v>
      </c>
      <c r="N78" s="218">
        <f t="shared" si="16"/>
        <v>-1.2833722238517773E+17</v>
      </c>
      <c r="O78" s="168">
        <f t="shared" si="57"/>
        <v>2.2459013917406102E+19</v>
      </c>
      <c r="P78" s="169">
        <f t="shared" si="70"/>
        <v>9.6240742132207596E+20</v>
      </c>
      <c r="Q78" s="170">
        <f t="shared" si="58"/>
        <v>1.3748677447458229E+17</v>
      </c>
      <c r="R78" s="156">
        <f t="shared" si="20"/>
        <v>43</v>
      </c>
      <c r="S78" s="171">
        <f t="shared" si="21"/>
        <v>0.02</v>
      </c>
      <c r="T78" s="172">
        <f t="shared" si="22"/>
        <v>3</v>
      </c>
      <c r="U78" s="173">
        <f t="shared" si="23"/>
        <v>0</v>
      </c>
      <c r="V78" s="155"/>
      <c r="W78" s="174">
        <f t="shared" si="59"/>
        <v>2.3811046555233999E+20</v>
      </c>
      <c r="X78" s="175">
        <f t="shared" si="60"/>
        <v>1.20051788687442E+21</v>
      </c>
      <c r="Y78" s="176">
        <f t="shared" si="61"/>
        <v>0.25</v>
      </c>
      <c r="Z78" s="176">
        <f t="shared" si="62"/>
        <v>3.40157807931914E+16</v>
      </c>
      <c r="AA78" s="155"/>
      <c r="AB78" s="177">
        <f t="shared" si="63"/>
        <v>-1.20051788687442E+21</v>
      </c>
      <c r="AC78" s="176">
        <f t="shared" si="64"/>
        <v>1.7150255526777402E+17</v>
      </c>
      <c r="AD78" s="178">
        <f t="shared" si="65"/>
        <v>0</v>
      </c>
      <c r="AE78" s="178">
        <f t="shared" si="66"/>
        <v>0</v>
      </c>
      <c r="AF78" s="179">
        <v>62</v>
      </c>
    </row>
    <row r="79" spans="1:32" s="10" customFormat="1" ht="15" customHeight="1" x14ac:dyDescent="0.2">
      <c r="A79" s="162">
        <v>63</v>
      </c>
      <c r="B79" s="106">
        <f t="shared" si="67"/>
        <v>-1</v>
      </c>
      <c r="C79" s="163">
        <f t="shared" si="68"/>
        <v>-41</v>
      </c>
      <c r="D79" s="155"/>
      <c r="E79" s="106">
        <f t="shared" si="52"/>
        <v>1</v>
      </c>
      <c r="F79" s="164">
        <f t="shared" ref="F79:G79" si="99">F78+E79</f>
        <v>76</v>
      </c>
      <c r="G79" s="165">
        <f t="shared" si="99"/>
        <v>2822</v>
      </c>
      <c r="H79" s="155"/>
      <c r="I79" s="107">
        <f t="shared" si="54"/>
        <v>2.78</v>
      </c>
      <c r="J79" s="166">
        <f t="shared" si="55"/>
        <v>3.9718378919184901E+18</v>
      </c>
      <c r="K79" s="167">
        <f t="shared" si="19"/>
        <v>6.2177392836591032E+18</v>
      </c>
      <c r="L79" s="155"/>
      <c r="M79" s="168">
        <f t="shared" si="56"/>
        <v>-2.5492731063002302E+21</v>
      </c>
      <c r="N79" s="218">
        <f t="shared" si="16"/>
        <v>-3.6418187232860429E+17</v>
      </c>
      <c r="O79" s="168">
        <f t="shared" si="57"/>
        <v>6.2177392836591002E+19</v>
      </c>
      <c r="P79" s="169">
        <f t="shared" si="70"/>
        <v>2.6692924790449399E+21</v>
      </c>
      <c r="Q79" s="170">
        <f t="shared" si="58"/>
        <v>3.8132749700641997E+17</v>
      </c>
      <c r="R79" s="156">
        <f t="shared" si="20"/>
        <v>43</v>
      </c>
      <c r="S79" s="171">
        <f t="shared" si="21"/>
        <v>0.02</v>
      </c>
      <c r="T79" s="172">
        <f t="shared" si="22"/>
        <v>2</v>
      </c>
      <c r="U79" s="173">
        <f t="shared" si="23"/>
        <v>0</v>
      </c>
      <c r="V79" s="155"/>
      <c r="W79" s="174">
        <f t="shared" si="59"/>
        <v>6.5920471885353805E+20</v>
      </c>
      <c r="X79" s="175">
        <f t="shared" si="60"/>
        <v>3.32849719789848E+21</v>
      </c>
      <c r="Y79" s="176">
        <f t="shared" si="61"/>
        <v>0.25</v>
      </c>
      <c r="Z79" s="176">
        <f t="shared" si="62"/>
        <v>9.4172102693362592E+16</v>
      </c>
      <c r="AA79" s="155"/>
      <c r="AB79" s="177">
        <f t="shared" si="63"/>
        <v>-3.32849719789848E+21</v>
      </c>
      <c r="AC79" s="176">
        <f t="shared" si="64"/>
        <v>4.7549959969978298E+17</v>
      </c>
      <c r="AD79" s="178">
        <f t="shared" si="65"/>
        <v>0</v>
      </c>
      <c r="AE79" s="178">
        <f t="shared" si="66"/>
        <v>0</v>
      </c>
      <c r="AF79" s="179">
        <v>63</v>
      </c>
    </row>
    <row r="80" spans="1:32" s="10" customFormat="1" ht="15" customHeight="1" x14ac:dyDescent="0.2">
      <c r="A80" s="162">
        <v>64</v>
      </c>
      <c r="B80" s="106">
        <f t="shared" si="67"/>
        <v>-1</v>
      </c>
      <c r="C80" s="163">
        <f t="shared" si="68"/>
        <v>-42</v>
      </c>
      <c r="D80" s="155"/>
      <c r="E80" s="106">
        <f t="shared" si="52"/>
        <v>1</v>
      </c>
      <c r="F80" s="164">
        <f t="shared" ref="F80:G80" si="100">F79+E80</f>
        <v>77</v>
      </c>
      <c r="G80" s="165">
        <f t="shared" si="100"/>
        <v>2899</v>
      </c>
      <c r="H80" s="155"/>
      <c r="I80" s="107">
        <f t="shared" si="54"/>
        <v>2.8</v>
      </c>
      <c r="J80" s="166">
        <f t="shared" si="55"/>
        <v>1.11211460973718E+19</v>
      </c>
      <c r="K80" s="167">
        <f t="shared" si="19"/>
        <v>1.7338885381030904E+19</v>
      </c>
      <c r="L80" s="155"/>
      <c r="M80" s="168">
        <f t="shared" si="56"/>
        <v>-7.2823318600329797E+21</v>
      </c>
      <c r="N80" s="218">
        <f t="shared" si="16"/>
        <v>-1.0403331228618542E+18</v>
      </c>
      <c r="O80" s="168">
        <f t="shared" si="57"/>
        <v>1.7338885381030901E+20</v>
      </c>
      <c r="P80" s="169">
        <f t="shared" si="70"/>
        <v>7.4569517274624499E+21</v>
      </c>
      <c r="Q80" s="170">
        <f t="shared" si="58"/>
        <v>1.0652788182089215E+18</v>
      </c>
      <c r="R80" s="156">
        <f t="shared" si="20"/>
        <v>43</v>
      </c>
      <c r="S80" s="171">
        <f t="shared" si="21"/>
        <v>0.01</v>
      </c>
      <c r="T80" s="172">
        <f t="shared" si="22"/>
        <v>1</v>
      </c>
      <c r="U80" s="173">
        <f t="shared" si="23"/>
        <v>0</v>
      </c>
      <c r="V80" s="155"/>
      <c r="W80" s="174">
        <f t="shared" si="59"/>
        <v>1.8382686280968999E+21</v>
      </c>
      <c r="X80" s="175">
        <f t="shared" si="60"/>
        <v>9.2952203555593498E+21</v>
      </c>
      <c r="Y80" s="176">
        <f t="shared" si="61"/>
        <v>0.25</v>
      </c>
      <c r="Z80" s="176">
        <f t="shared" si="62"/>
        <v>2.6260980401384301E+17</v>
      </c>
      <c r="AA80" s="155"/>
      <c r="AB80" s="177">
        <f t="shared" si="63"/>
        <v>-9.2952203555593498E+21</v>
      </c>
      <c r="AC80" s="176">
        <f t="shared" si="64"/>
        <v>1.3278886222227599E+18</v>
      </c>
      <c r="AD80" s="178">
        <f t="shared" si="65"/>
        <v>0</v>
      </c>
      <c r="AE80" s="178">
        <f t="shared" si="66"/>
        <v>0</v>
      </c>
      <c r="AF80" s="179">
        <v>64</v>
      </c>
    </row>
    <row r="81" spans="1:32" s="10" customFormat="1" ht="15" customHeight="1" x14ac:dyDescent="0.2">
      <c r="A81" s="162">
        <v>65</v>
      </c>
      <c r="B81" s="108">
        <f t="shared" si="67"/>
        <v>-1</v>
      </c>
      <c r="C81" s="180">
        <f t="shared" si="68"/>
        <v>-43</v>
      </c>
      <c r="D81" s="181"/>
      <c r="E81" s="108">
        <f t="shared" ref="E81:E116" si="101">IF(OR($A81&lt;2,AND(G$13&gt;0,$A81&gt;G$13)),0,IF(AND($A81&gt;=G$10,G$10&gt;0),G$11,IF(AND($A81&gt;=G$7,G$7&gt;0),G$8,0)))</f>
        <v>1</v>
      </c>
      <c r="F81" s="180">
        <f t="shared" ref="F81:G81" si="102">F80+E81</f>
        <v>78</v>
      </c>
      <c r="G81" s="180">
        <f t="shared" si="102"/>
        <v>2977</v>
      </c>
      <c r="H81" s="181"/>
      <c r="I81" s="109">
        <f t="shared" ref="I81:I116" si="103">IF(($A81&lt;K$5),1,IF(AND($A81&gt;K$13,K$13&gt;0),I80,IF(AND($A81&gt;=K$10,K$10&gt;0),ROUND(I80+K$11,4),IF(AND($A81&gt;=K$7,K$7&gt;0),ROUND(I80+K$8,4),K$4))))</f>
        <v>2.82</v>
      </c>
      <c r="J81" s="182">
        <f t="shared" ref="J81:J112" si="104">IF($A81&lt;K$5, K$3, IF(K$2=0,IF(K$14&gt;0,IF(K$3*K$14&lt;ROUND(J80*I81, 3),K$3*K$14,ROUND(J80*I81, 3)),ROUND(J80*I81, 3)),IF(K$14&gt;0,IF(K$3*K$14&lt;ROUND(K$3*I81, 3),K$3*K$14,ROUND(K$3*I81, 3)),ROUND(K$3*I81, 3))))</f>
        <v>3.13616319945885E+19</v>
      </c>
      <c r="K81" s="182">
        <f t="shared" si="19"/>
        <v>4.87005173756194E+19</v>
      </c>
      <c r="L81" s="183"/>
      <c r="M81" s="184">
        <f t="shared" ref="M81:M116" si="105">ROUND(C81*O81-K81*$P$6,2)</f>
        <v>-2.0941222471516299E+22</v>
      </c>
      <c r="N81" s="219">
        <f t="shared" si="16"/>
        <v>-2.9916032102166144E+18</v>
      </c>
      <c r="O81" s="184">
        <f t="shared" ref="O81:O116" si="106">ROUND(ROUND(K81,2)*$P$4,2)</f>
        <v>4.87005173756194E+20</v>
      </c>
      <c r="P81" s="185">
        <f t="shared" si="70"/>
        <v>2.09812823246666E+22</v>
      </c>
      <c r="Q81" s="186">
        <f t="shared" ref="Q81:Q112" si="107">P81/$P$10</f>
        <v>2.9973260463809428E+18</v>
      </c>
      <c r="R81" s="187">
        <f t="shared" si="20"/>
        <v>43</v>
      </c>
      <c r="S81" s="188">
        <f t="shared" si="21"/>
        <v>0.01</v>
      </c>
      <c r="T81" s="189">
        <f t="shared" si="22"/>
        <v>0</v>
      </c>
      <c r="U81" s="188">
        <f t="shared" si="23"/>
        <v>0</v>
      </c>
      <c r="V81" s="190"/>
      <c r="W81" s="191">
        <f t="shared" ref="W81:W116" si="108">ROUND(K81*$P$8,2)</f>
        <v>5.16322885216317E+21</v>
      </c>
      <c r="X81" s="192">
        <f t="shared" ref="X81:X112" si="109">ROUND(P81+W81,2)</f>
        <v>2.6144511176829802E+22</v>
      </c>
      <c r="Y81" s="193">
        <f t="shared" ref="Y81:Y116" si="110">IF(P81&gt;0,ROUND(W81/P81,2),0)</f>
        <v>0.25</v>
      </c>
      <c r="Z81" s="193">
        <f t="shared" ref="Z81:Z116" si="111">IF($P$10&gt;0,ROUND(W81/$P$10,2),0)</f>
        <v>7.3760412173759603E+17</v>
      </c>
      <c r="AA81" s="194"/>
      <c r="AB81" s="195">
        <f t="shared" ref="AB81:AB116" si="112">IF($P$10&gt;0,ROUND($P$10-X81,2),0)</f>
        <v>-2.6144511176829802E+22</v>
      </c>
      <c r="AC81" s="193">
        <f t="shared" ref="AC81:AC116" si="113">IF($P$10&gt;0,ROUND(X81/$P$10,2),0)</f>
        <v>3.7349301681185398E+18</v>
      </c>
      <c r="AD81" s="196">
        <f t="shared" ref="AD81:AD116" si="114">IF(AND(AB81&gt;0,$P$4&gt;0),($P$10-P81-W81*$P$9)/O81,0)</f>
        <v>0</v>
      </c>
      <c r="AE81" s="196">
        <f t="shared" ref="AE81:AE112" si="115">IF(AD81&gt;0,AD81+G81,0)</f>
        <v>0</v>
      </c>
      <c r="AF81" s="179">
        <v>65</v>
      </c>
    </row>
    <row r="82" spans="1:32" s="10" customFormat="1" ht="15" customHeight="1" x14ac:dyDescent="0.2">
      <c r="A82" s="162">
        <v>66</v>
      </c>
      <c r="B82" s="106">
        <f t="shared" ref="B82:B113" si="116">IF(AND($A82&gt;=C$13,C$13&gt;0),0,IF(AND($A82&gt;=C$10,C$10&gt;0),C$11,IF(AND($A82&gt;=C$7,C$7&gt;0),C$8,0)))</f>
        <v>-1</v>
      </c>
      <c r="C82" s="163">
        <f t="shared" ref="C82:C113" si="117">IF(AND($A82&gt;=C$13,C$13&gt;0),C$14,C81+B82)</f>
        <v>-44</v>
      </c>
      <c r="D82" s="155"/>
      <c r="E82" s="106">
        <f t="shared" si="101"/>
        <v>1</v>
      </c>
      <c r="F82" s="164">
        <f t="shared" ref="F82:G82" si="118">F81+E82</f>
        <v>79</v>
      </c>
      <c r="G82" s="165">
        <f t="shared" si="118"/>
        <v>3056</v>
      </c>
      <c r="H82" s="155"/>
      <c r="I82" s="107">
        <f t="shared" si="103"/>
        <v>2.84</v>
      </c>
      <c r="J82" s="166">
        <f t="shared" si="104"/>
        <v>8.90670348646313E+19</v>
      </c>
      <c r="K82" s="167">
        <f t="shared" si="19"/>
        <v>1.377675522402507E+20</v>
      </c>
      <c r="L82" s="155"/>
      <c r="M82" s="168">
        <f t="shared" si="105"/>
        <v>-6.0617722985710398E+22</v>
      </c>
      <c r="N82" s="218">
        <f t="shared" ref="N82:N116" si="119">IF($P$10&gt;0,M82/$P$10,0)</f>
        <v>-8.6596747122443428E+18</v>
      </c>
      <c r="O82" s="168">
        <f t="shared" si="106"/>
        <v>1.3776755224025099E+21</v>
      </c>
      <c r="P82" s="169">
        <f t="shared" ref="P82:P116" si="120">ROUND((ROUND(K81,2)*(G82-G81)*$P$4+P81+J82*$P$6),2)</f>
        <v>5.9454691051405901E+22</v>
      </c>
      <c r="Q82" s="170">
        <f t="shared" si="107"/>
        <v>8.4935272930579855E+18</v>
      </c>
      <c r="R82" s="156">
        <f t="shared" si="20"/>
        <v>43</v>
      </c>
      <c r="S82" s="171">
        <f t="shared" si="21"/>
        <v>0.01</v>
      </c>
      <c r="T82" s="172">
        <f t="shared" si="22"/>
        <v>-1</v>
      </c>
      <c r="U82" s="173">
        <f t="shared" si="23"/>
        <v>0</v>
      </c>
      <c r="V82" s="155"/>
      <c r="W82" s="174">
        <f t="shared" si="108"/>
        <v>1.46061158885114E+22</v>
      </c>
      <c r="X82" s="175">
        <f t="shared" si="109"/>
        <v>7.4060806939917301E+22</v>
      </c>
      <c r="Y82" s="176">
        <f t="shared" si="110"/>
        <v>0.25</v>
      </c>
      <c r="Z82" s="176">
        <f t="shared" si="111"/>
        <v>2.0865879840730601E+18</v>
      </c>
      <c r="AA82" s="155"/>
      <c r="AB82" s="177">
        <f t="shared" si="112"/>
        <v>-7.4060806939917301E+22</v>
      </c>
      <c r="AC82" s="176">
        <f t="shared" si="113"/>
        <v>1.0580115277131E+19</v>
      </c>
      <c r="AD82" s="178">
        <f t="shared" si="114"/>
        <v>0</v>
      </c>
      <c r="AE82" s="178">
        <f t="shared" si="115"/>
        <v>0</v>
      </c>
      <c r="AF82" s="179">
        <v>66</v>
      </c>
    </row>
    <row r="83" spans="1:32" s="10" customFormat="1" ht="15" customHeight="1" x14ac:dyDescent="0.2">
      <c r="A83" s="162">
        <v>67</v>
      </c>
      <c r="B83" s="106">
        <f t="shared" si="116"/>
        <v>-1</v>
      </c>
      <c r="C83" s="163">
        <f t="shared" si="117"/>
        <v>-45</v>
      </c>
      <c r="D83" s="155"/>
      <c r="E83" s="106">
        <f t="shared" si="101"/>
        <v>1</v>
      </c>
      <c r="F83" s="164">
        <f t="shared" ref="F83:G83" si="121">F82+E83</f>
        <v>80</v>
      </c>
      <c r="G83" s="165">
        <f t="shared" si="121"/>
        <v>3136</v>
      </c>
      <c r="H83" s="155"/>
      <c r="I83" s="107">
        <f t="shared" si="103"/>
        <v>2.86</v>
      </c>
      <c r="J83" s="166">
        <f t="shared" si="104"/>
        <v>2.54731719712845E+20</v>
      </c>
      <c r="K83" s="167">
        <f t="shared" si="19"/>
        <v>3.9249927195309572E+20</v>
      </c>
      <c r="L83" s="155"/>
      <c r="M83" s="168">
        <f t="shared" si="105"/>
        <v>-1.7662467237889301E+23</v>
      </c>
      <c r="N83" s="218">
        <f t="shared" si="119"/>
        <v>-2.5232096054127571E+19</v>
      </c>
      <c r="O83" s="168">
        <f t="shared" si="106"/>
        <v>3.9249927195309601E+21</v>
      </c>
      <c r="P83" s="169">
        <f t="shared" si="120"/>
        <v>1.69668732843607E+23</v>
      </c>
      <c r="Q83" s="170">
        <f t="shared" si="107"/>
        <v>2.4238390406229574E+19</v>
      </c>
      <c r="R83" s="156">
        <f t="shared" si="20"/>
        <v>43</v>
      </c>
      <c r="S83" s="171">
        <f t="shared" si="21"/>
        <v>0.01</v>
      </c>
      <c r="T83" s="172">
        <f t="shared" si="22"/>
        <v>-2</v>
      </c>
      <c r="U83" s="173">
        <f t="shared" si="23"/>
        <v>0</v>
      </c>
      <c r="V83" s="155"/>
      <c r="W83" s="174">
        <f t="shared" si="108"/>
        <v>4.1612772812467198E+22</v>
      </c>
      <c r="X83" s="175">
        <f t="shared" si="109"/>
        <v>2.11281505656074E+23</v>
      </c>
      <c r="Y83" s="176">
        <f t="shared" si="110"/>
        <v>0.25</v>
      </c>
      <c r="Z83" s="176">
        <f t="shared" si="111"/>
        <v>5.9446818303524598E+18</v>
      </c>
      <c r="AA83" s="155"/>
      <c r="AB83" s="177">
        <f t="shared" si="112"/>
        <v>-2.11281505656074E+23</v>
      </c>
      <c r="AC83" s="176">
        <f t="shared" si="113"/>
        <v>3.0183072236581999E+19</v>
      </c>
      <c r="AD83" s="178">
        <f t="shared" si="114"/>
        <v>0</v>
      </c>
      <c r="AE83" s="178">
        <f t="shared" si="115"/>
        <v>0</v>
      </c>
      <c r="AF83" s="179">
        <v>67</v>
      </c>
    </row>
    <row r="84" spans="1:32" s="10" customFormat="1" ht="15" customHeight="1" x14ac:dyDescent="0.2">
      <c r="A84" s="162">
        <v>68</v>
      </c>
      <c r="B84" s="106">
        <f t="shared" si="116"/>
        <v>-1</v>
      </c>
      <c r="C84" s="163">
        <f t="shared" si="117"/>
        <v>-46</v>
      </c>
      <c r="D84" s="155"/>
      <c r="E84" s="106">
        <f t="shared" si="101"/>
        <v>1</v>
      </c>
      <c r="F84" s="164">
        <f t="shared" ref="F84:G84" si="122">F83+E84</f>
        <v>81</v>
      </c>
      <c r="G84" s="165">
        <f t="shared" si="122"/>
        <v>3217</v>
      </c>
      <c r="H84" s="155"/>
      <c r="I84" s="107">
        <f t="shared" si="103"/>
        <v>2.88</v>
      </c>
      <c r="J84" s="166">
        <f t="shared" si="104"/>
        <v>7.3362735277299401E+20</v>
      </c>
      <c r="K84" s="167">
        <f t="shared" ref="K84:K116" si="123">K83+ROUND(J84,2)</f>
        <v>1.1261266247260897E+21</v>
      </c>
      <c r="L84" s="155"/>
      <c r="M84" s="168">
        <f t="shared" si="105"/>
        <v>-5.1801824737400098E+23</v>
      </c>
      <c r="N84" s="218">
        <f t="shared" si="119"/>
        <v>-7.4002606767714419E+19</v>
      </c>
      <c r="O84" s="168">
        <f t="shared" si="106"/>
        <v>1.1261266247260901E+22</v>
      </c>
      <c r="P84" s="169">
        <f t="shared" si="120"/>
        <v>4.8759314312561498E+23</v>
      </c>
      <c r="Q84" s="170">
        <f t="shared" si="107"/>
        <v>6.9656163303659282E+19</v>
      </c>
      <c r="R84" s="156">
        <f t="shared" ref="R84:R116" si="124">ROUND(P84/O84,0)</f>
        <v>43</v>
      </c>
      <c r="S84" s="171">
        <f t="shared" ref="S84:S116" si="125">ROUND(R84/G84,2)</f>
        <v>0.01</v>
      </c>
      <c r="T84" s="172">
        <f t="shared" ref="T84:T116" si="126">R84+C84</f>
        <v>-3</v>
      </c>
      <c r="U84" s="173">
        <f t="shared" ref="U84:U116" si="127">ROUND(T84/G84,2)</f>
        <v>0</v>
      </c>
      <c r="V84" s="155"/>
      <c r="W84" s="174">
        <f t="shared" si="108"/>
        <v>1.1939194475346E+23</v>
      </c>
      <c r="X84" s="175">
        <f t="shared" si="109"/>
        <v>6.0698508787907502E+23</v>
      </c>
      <c r="Y84" s="176">
        <f t="shared" si="110"/>
        <v>0.24</v>
      </c>
      <c r="Z84" s="176">
        <f t="shared" si="111"/>
        <v>1.7055992107637101E+19</v>
      </c>
      <c r="AA84" s="155"/>
      <c r="AB84" s="177">
        <f t="shared" si="112"/>
        <v>-6.0698508787907502E+23</v>
      </c>
      <c r="AC84" s="176">
        <f t="shared" si="113"/>
        <v>8.6712155411296403E+19</v>
      </c>
      <c r="AD84" s="178">
        <f t="shared" si="114"/>
        <v>0</v>
      </c>
      <c r="AE84" s="178">
        <f t="shared" si="115"/>
        <v>0</v>
      </c>
      <c r="AF84" s="179">
        <v>68</v>
      </c>
    </row>
    <row r="85" spans="1:32" s="10" customFormat="1" ht="15" customHeight="1" x14ac:dyDescent="0.2">
      <c r="A85" s="162">
        <v>69</v>
      </c>
      <c r="B85" s="106">
        <f t="shared" si="116"/>
        <v>-1</v>
      </c>
      <c r="C85" s="163">
        <f t="shared" si="117"/>
        <v>-47</v>
      </c>
      <c r="D85" s="155"/>
      <c r="E85" s="106">
        <f t="shared" si="101"/>
        <v>1</v>
      </c>
      <c r="F85" s="164">
        <f t="shared" ref="F85:G85" si="128">F84+E85</f>
        <v>82</v>
      </c>
      <c r="G85" s="165">
        <f t="shared" si="128"/>
        <v>3299</v>
      </c>
      <c r="H85" s="155"/>
      <c r="I85" s="107">
        <f t="shared" si="103"/>
        <v>2.9</v>
      </c>
      <c r="J85" s="166">
        <f t="shared" si="104"/>
        <v>2.1275193230416801E+21</v>
      </c>
      <c r="K85" s="167">
        <f t="shared" si="123"/>
        <v>3.2536459477677695E+21</v>
      </c>
      <c r="L85" s="155"/>
      <c r="M85" s="168">
        <f t="shared" si="105"/>
        <v>-1.5292135954508501E+24</v>
      </c>
      <c r="N85" s="218">
        <f t="shared" si="119"/>
        <v>-2.1845908506440715E+20</v>
      </c>
      <c r="O85" s="168">
        <f t="shared" si="106"/>
        <v>3.2536459477677702E+22</v>
      </c>
      <c r="P85" s="169">
        <f t="shared" si="120"/>
        <v>1.4110169754010101E+24</v>
      </c>
      <c r="Q85" s="170">
        <f t="shared" si="107"/>
        <v>2.0157385362871573E+20</v>
      </c>
      <c r="R85" s="156">
        <f t="shared" si="124"/>
        <v>43</v>
      </c>
      <c r="S85" s="171">
        <f t="shared" si="125"/>
        <v>0.01</v>
      </c>
      <c r="T85" s="172">
        <f t="shared" si="126"/>
        <v>-4</v>
      </c>
      <c r="U85" s="173">
        <f t="shared" si="127"/>
        <v>0</v>
      </c>
      <c r="V85" s="155"/>
      <c r="W85" s="174">
        <f t="shared" si="108"/>
        <v>3.4495154338233899E+23</v>
      </c>
      <c r="X85" s="175">
        <f t="shared" si="109"/>
        <v>1.75596851878335E+24</v>
      </c>
      <c r="Y85" s="176">
        <f t="shared" si="110"/>
        <v>0.24</v>
      </c>
      <c r="Z85" s="176">
        <f t="shared" si="111"/>
        <v>4.9278791911762698E+19</v>
      </c>
      <c r="AA85" s="155"/>
      <c r="AB85" s="177">
        <f t="shared" si="112"/>
        <v>-1.75596851878335E+24</v>
      </c>
      <c r="AC85" s="176">
        <f t="shared" si="113"/>
        <v>2.5085264554047901E+20</v>
      </c>
      <c r="AD85" s="178">
        <f t="shared" si="114"/>
        <v>0</v>
      </c>
      <c r="AE85" s="178">
        <f t="shared" si="115"/>
        <v>0</v>
      </c>
      <c r="AF85" s="179">
        <v>69</v>
      </c>
    </row>
    <row r="86" spans="1:32" s="10" customFormat="1" ht="15" customHeight="1" x14ac:dyDescent="0.2">
      <c r="A86" s="162">
        <v>70</v>
      </c>
      <c r="B86" s="108">
        <f t="shared" si="116"/>
        <v>-1</v>
      </c>
      <c r="C86" s="180">
        <f t="shared" si="117"/>
        <v>-48</v>
      </c>
      <c r="D86" s="181"/>
      <c r="E86" s="108">
        <f t="shared" si="101"/>
        <v>1</v>
      </c>
      <c r="F86" s="180">
        <f t="shared" ref="F86:G86" si="129">F85+E86</f>
        <v>83</v>
      </c>
      <c r="G86" s="180">
        <f t="shared" si="129"/>
        <v>3382</v>
      </c>
      <c r="H86" s="181"/>
      <c r="I86" s="109">
        <f t="shared" si="103"/>
        <v>2.92</v>
      </c>
      <c r="J86" s="182">
        <f t="shared" si="104"/>
        <v>6.2123564232817099E+21</v>
      </c>
      <c r="K86" s="182">
        <f t="shared" si="123"/>
        <v>9.4660023710494795E+21</v>
      </c>
      <c r="L86" s="183"/>
      <c r="M86" s="184">
        <f t="shared" si="105"/>
        <v>-4.5436811381037499E+24</v>
      </c>
      <c r="N86" s="219">
        <f t="shared" si="119"/>
        <v>-6.4909730544339282E+20</v>
      </c>
      <c r="O86" s="184">
        <f t="shared" si="106"/>
        <v>9.4660023710494807E+22</v>
      </c>
      <c r="P86" s="185">
        <f t="shared" si="120"/>
        <v>4.1115431120482601E+24</v>
      </c>
      <c r="Q86" s="186">
        <f t="shared" si="107"/>
        <v>5.8736330172118001E+20</v>
      </c>
      <c r="R86" s="187">
        <f t="shared" si="124"/>
        <v>43</v>
      </c>
      <c r="S86" s="188">
        <f t="shared" si="125"/>
        <v>0.01</v>
      </c>
      <c r="T86" s="189">
        <f t="shared" si="126"/>
        <v>-5</v>
      </c>
      <c r="U86" s="188">
        <f t="shared" si="127"/>
        <v>0</v>
      </c>
      <c r="V86" s="190"/>
      <c r="W86" s="191">
        <f t="shared" si="108"/>
        <v>1.00358557137867E+24</v>
      </c>
      <c r="X86" s="192">
        <f t="shared" si="109"/>
        <v>5.1151286834269296E+24</v>
      </c>
      <c r="Y86" s="193">
        <f t="shared" si="110"/>
        <v>0.24</v>
      </c>
      <c r="Z86" s="193">
        <f t="shared" si="111"/>
        <v>1.4336936733981E+20</v>
      </c>
      <c r="AA86" s="194"/>
      <c r="AB86" s="195">
        <f t="shared" si="112"/>
        <v>-5.1151286834269296E+24</v>
      </c>
      <c r="AC86" s="193">
        <f t="shared" si="113"/>
        <v>7.3073266906098998E+20</v>
      </c>
      <c r="AD86" s="196">
        <f t="shared" si="114"/>
        <v>0</v>
      </c>
      <c r="AE86" s="196">
        <f t="shared" si="115"/>
        <v>0</v>
      </c>
      <c r="AF86" s="179">
        <v>70</v>
      </c>
    </row>
    <row r="87" spans="1:32" s="10" customFormat="1" ht="15" customHeight="1" x14ac:dyDescent="0.2">
      <c r="A87" s="162">
        <v>71</v>
      </c>
      <c r="B87" s="106">
        <f t="shared" si="116"/>
        <v>-1</v>
      </c>
      <c r="C87" s="163">
        <f t="shared" si="117"/>
        <v>-49</v>
      </c>
      <c r="D87" s="155"/>
      <c r="E87" s="106">
        <f t="shared" si="101"/>
        <v>1</v>
      </c>
      <c r="F87" s="164">
        <f t="shared" ref="F87:G87" si="130">F86+E87</f>
        <v>84</v>
      </c>
      <c r="G87" s="165">
        <f t="shared" si="130"/>
        <v>3466</v>
      </c>
      <c r="H87" s="155"/>
      <c r="I87" s="107">
        <f t="shared" si="103"/>
        <v>2.94</v>
      </c>
      <c r="J87" s="166">
        <f t="shared" si="104"/>
        <v>1.8264327884448201E+22</v>
      </c>
      <c r="K87" s="167">
        <f t="shared" si="123"/>
        <v>2.7730330255497682E+22</v>
      </c>
      <c r="L87" s="155"/>
      <c r="M87" s="168">
        <f t="shared" si="105"/>
        <v>-1.35878618251939E+25</v>
      </c>
      <c r="N87" s="218">
        <f t="shared" si="119"/>
        <v>-1.941123117884843E+21</v>
      </c>
      <c r="O87" s="168">
        <f t="shared" si="106"/>
        <v>2.7730330255497701E+23</v>
      </c>
      <c r="P87" s="169">
        <f t="shared" si="120"/>
        <v>1.2062985103729799E+25</v>
      </c>
      <c r="Q87" s="170">
        <f t="shared" si="107"/>
        <v>1.7232835862471141E+21</v>
      </c>
      <c r="R87" s="156">
        <f t="shared" si="124"/>
        <v>44</v>
      </c>
      <c r="S87" s="171">
        <f t="shared" si="125"/>
        <v>0.01</v>
      </c>
      <c r="T87" s="172">
        <f t="shared" si="126"/>
        <v>-5</v>
      </c>
      <c r="U87" s="173">
        <f t="shared" si="127"/>
        <v>0</v>
      </c>
      <c r="V87" s="155"/>
      <c r="W87" s="174">
        <f t="shared" si="108"/>
        <v>2.93996961368786E+24</v>
      </c>
      <c r="X87" s="175">
        <f t="shared" si="109"/>
        <v>1.5002954717417701E+25</v>
      </c>
      <c r="Y87" s="176">
        <f t="shared" si="110"/>
        <v>0.24</v>
      </c>
      <c r="Z87" s="176">
        <f t="shared" si="111"/>
        <v>4.1999565909826601E+20</v>
      </c>
      <c r="AA87" s="155"/>
      <c r="AB87" s="177">
        <f t="shared" si="112"/>
        <v>-1.5002954717417701E+25</v>
      </c>
      <c r="AC87" s="176">
        <f t="shared" si="113"/>
        <v>2.1432792453453901E+21</v>
      </c>
      <c r="AD87" s="178">
        <f t="shared" si="114"/>
        <v>0</v>
      </c>
      <c r="AE87" s="178">
        <f t="shared" si="115"/>
        <v>0</v>
      </c>
      <c r="AF87" s="179">
        <v>71</v>
      </c>
    </row>
    <row r="88" spans="1:32" s="10" customFormat="1" ht="15" customHeight="1" x14ac:dyDescent="0.2">
      <c r="A88" s="162">
        <v>72</v>
      </c>
      <c r="B88" s="106">
        <f t="shared" si="116"/>
        <v>-1</v>
      </c>
      <c r="C88" s="163">
        <f t="shared" si="117"/>
        <v>-50</v>
      </c>
      <c r="D88" s="155"/>
      <c r="E88" s="106">
        <f t="shared" si="101"/>
        <v>1</v>
      </c>
      <c r="F88" s="164">
        <f t="shared" ref="F88:G88" si="131">F87+E88</f>
        <v>85</v>
      </c>
      <c r="G88" s="165">
        <f t="shared" si="131"/>
        <v>3551</v>
      </c>
      <c r="H88" s="155"/>
      <c r="I88" s="107">
        <f t="shared" si="103"/>
        <v>2.96</v>
      </c>
      <c r="J88" s="166">
        <f t="shared" si="104"/>
        <v>5.4062410537966701E+22</v>
      </c>
      <c r="K88" s="167">
        <f t="shared" si="123"/>
        <v>8.1792740793464375E+22</v>
      </c>
      <c r="L88" s="155"/>
      <c r="M88" s="168">
        <f t="shared" si="105"/>
        <v>-4.0896370396732201E+25</v>
      </c>
      <c r="N88" s="218">
        <f t="shared" si="119"/>
        <v>-5.8423386281046002E+21</v>
      </c>
      <c r="O88" s="168">
        <f t="shared" si="106"/>
        <v>8.1792740793464395E+23</v>
      </c>
      <c r="P88" s="169">
        <f t="shared" si="120"/>
        <v>3.56337658209028E+25</v>
      </c>
      <c r="Q88" s="170">
        <f t="shared" si="107"/>
        <v>5.0905379744146858E+21</v>
      </c>
      <c r="R88" s="156">
        <f t="shared" si="124"/>
        <v>44</v>
      </c>
      <c r="S88" s="171">
        <f t="shared" si="125"/>
        <v>0.01</v>
      </c>
      <c r="T88" s="172">
        <f t="shared" si="126"/>
        <v>-6</v>
      </c>
      <c r="U88" s="173">
        <f t="shared" si="127"/>
        <v>0</v>
      </c>
      <c r="V88" s="155"/>
      <c r="W88" s="174">
        <f t="shared" si="108"/>
        <v>8.6716663789230901E+24</v>
      </c>
      <c r="X88" s="175">
        <f t="shared" si="109"/>
        <v>4.4305432199825903E+25</v>
      </c>
      <c r="Y88" s="176">
        <f t="shared" si="110"/>
        <v>0.24</v>
      </c>
      <c r="Z88" s="176">
        <f t="shared" si="111"/>
        <v>1.2388094827032999E+21</v>
      </c>
      <c r="AA88" s="155"/>
      <c r="AB88" s="177">
        <f t="shared" si="112"/>
        <v>-4.4305432199825903E+25</v>
      </c>
      <c r="AC88" s="176">
        <f t="shared" si="113"/>
        <v>6.3293474571179902E+21</v>
      </c>
      <c r="AD88" s="178">
        <f t="shared" si="114"/>
        <v>0</v>
      </c>
      <c r="AE88" s="178">
        <f t="shared" si="115"/>
        <v>0</v>
      </c>
      <c r="AF88" s="179">
        <v>72</v>
      </c>
    </row>
    <row r="89" spans="1:32" s="10" customFormat="1" ht="15" customHeight="1" x14ac:dyDescent="0.2">
      <c r="A89" s="162">
        <v>73</v>
      </c>
      <c r="B89" s="106">
        <f t="shared" si="116"/>
        <v>-1</v>
      </c>
      <c r="C89" s="163">
        <f t="shared" si="117"/>
        <v>-51</v>
      </c>
      <c r="D89" s="155"/>
      <c r="E89" s="106">
        <f t="shared" si="101"/>
        <v>1</v>
      </c>
      <c r="F89" s="164">
        <f t="shared" ref="F89:G89" si="132">F88+E89</f>
        <v>86</v>
      </c>
      <c r="G89" s="165">
        <f t="shared" si="132"/>
        <v>3637</v>
      </c>
      <c r="H89" s="155"/>
      <c r="I89" s="107">
        <f t="shared" si="103"/>
        <v>2.98</v>
      </c>
      <c r="J89" s="166">
        <f t="shared" si="104"/>
        <v>1.6110598340314098E+23</v>
      </c>
      <c r="K89" s="167">
        <f t="shared" si="123"/>
        <v>2.4289872419660536E+23</v>
      </c>
      <c r="L89" s="155"/>
      <c r="M89" s="168">
        <f t="shared" si="105"/>
        <v>-1.23878349340269E+26</v>
      </c>
      <c r="N89" s="218">
        <f t="shared" si="119"/>
        <v>-1.7696907048609858E+22</v>
      </c>
      <c r="O89" s="168">
        <f t="shared" si="106"/>
        <v>2.42898724196605E+24</v>
      </c>
      <c r="P89" s="169">
        <f t="shared" si="120"/>
        <v>1.0597552290328201E+26</v>
      </c>
      <c r="Q89" s="170">
        <f t="shared" si="107"/>
        <v>1.5139360414754572E+22</v>
      </c>
      <c r="R89" s="156">
        <f t="shared" si="124"/>
        <v>44</v>
      </c>
      <c r="S89" s="171">
        <f t="shared" si="125"/>
        <v>0.01</v>
      </c>
      <c r="T89" s="172">
        <f t="shared" si="126"/>
        <v>-7</v>
      </c>
      <c r="U89" s="173">
        <f t="shared" si="127"/>
        <v>0</v>
      </c>
      <c r="V89" s="155"/>
      <c r="W89" s="174">
        <f t="shared" si="108"/>
        <v>2.5752122739324102E+25</v>
      </c>
      <c r="X89" s="175">
        <f t="shared" si="109"/>
        <v>1.3172764564260599E+26</v>
      </c>
      <c r="Y89" s="176">
        <f t="shared" si="110"/>
        <v>0.24</v>
      </c>
      <c r="Z89" s="176">
        <f t="shared" si="111"/>
        <v>3.6788746770463001E+21</v>
      </c>
      <c r="AA89" s="155"/>
      <c r="AB89" s="177">
        <f t="shared" si="112"/>
        <v>-1.3172764564260599E+26</v>
      </c>
      <c r="AC89" s="176">
        <f t="shared" si="113"/>
        <v>1.8818235091800899E+22</v>
      </c>
      <c r="AD89" s="178">
        <f t="shared" si="114"/>
        <v>0</v>
      </c>
      <c r="AE89" s="178">
        <f t="shared" si="115"/>
        <v>0</v>
      </c>
      <c r="AF89" s="179">
        <v>73</v>
      </c>
    </row>
    <row r="90" spans="1:32" s="10" customFormat="1" ht="15" customHeight="1" x14ac:dyDescent="0.2">
      <c r="A90" s="162">
        <v>74</v>
      </c>
      <c r="B90" s="106">
        <f t="shared" si="116"/>
        <v>-1</v>
      </c>
      <c r="C90" s="163">
        <f t="shared" si="117"/>
        <v>-52</v>
      </c>
      <c r="D90" s="155"/>
      <c r="E90" s="106">
        <f t="shared" si="101"/>
        <v>1</v>
      </c>
      <c r="F90" s="164">
        <f t="shared" ref="F90:G90" si="133">F89+E90</f>
        <v>87</v>
      </c>
      <c r="G90" s="165">
        <f t="shared" si="133"/>
        <v>3724</v>
      </c>
      <c r="H90" s="155"/>
      <c r="I90" s="107">
        <f t="shared" si="103"/>
        <v>3</v>
      </c>
      <c r="J90" s="166">
        <f t="shared" si="104"/>
        <v>4.8331795020942302E+23</v>
      </c>
      <c r="K90" s="167">
        <f t="shared" si="123"/>
        <v>7.2621667440602834E+23</v>
      </c>
      <c r="L90" s="155"/>
      <c r="M90" s="168">
        <f t="shared" si="105"/>
        <v>-3.7763267069113501E+26</v>
      </c>
      <c r="N90" s="218">
        <f t="shared" si="119"/>
        <v>-5.394752438444786E+22</v>
      </c>
      <c r="O90" s="168">
        <f t="shared" si="106"/>
        <v>7.2621667440602802E+24</v>
      </c>
      <c r="P90" s="169">
        <f t="shared" si="120"/>
        <v>3.1729741295432798E+26</v>
      </c>
      <c r="Q90" s="170">
        <f t="shared" si="107"/>
        <v>4.532820185061828E+22</v>
      </c>
      <c r="R90" s="156">
        <f t="shared" si="124"/>
        <v>44</v>
      </c>
      <c r="S90" s="171">
        <f t="shared" si="125"/>
        <v>0.01</v>
      </c>
      <c r="T90" s="172">
        <f t="shared" si="126"/>
        <v>-8</v>
      </c>
      <c r="U90" s="173">
        <f t="shared" si="127"/>
        <v>0</v>
      </c>
      <c r="V90" s="155"/>
      <c r="W90" s="174">
        <f t="shared" si="108"/>
        <v>7.6993491820527103E+25</v>
      </c>
      <c r="X90" s="175">
        <f t="shared" si="109"/>
        <v>3.9429090477485502E+26</v>
      </c>
      <c r="Y90" s="176">
        <f t="shared" si="110"/>
        <v>0.24</v>
      </c>
      <c r="Z90" s="176">
        <f t="shared" si="111"/>
        <v>1.09990702600753E+22</v>
      </c>
      <c r="AA90" s="155"/>
      <c r="AB90" s="177">
        <f t="shared" si="112"/>
        <v>-3.9429090477485502E+26</v>
      </c>
      <c r="AC90" s="176">
        <f t="shared" si="113"/>
        <v>5.6327272110693603E+22</v>
      </c>
      <c r="AD90" s="178">
        <f t="shared" si="114"/>
        <v>0</v>
      </c>
      <c r="AE90" s="178">
        <f t="shared" si="115"/>
        <v>0</v>
      </c>
      <c r="AF90" s="179">
        <v>74</v>
      </c>
    </row>
    <row r="91" spans="1:32" s="10" customFormat="1" ht="15" customHeight="1" x14ac:dyDescent="0.2">
      <c r="A91" s="162">
        <v>75</v>
      </c>
      <c r="B91" s="108">
        <f t="shared" si="116"/>
        <v>-1</v>
      </c>
      <c r="C91" s="180">
        <f t="shared" si="117"/>
        <v>-53</v>
      </c>
      <c r="D91" s="181"/>
      <c r="E91" s="108">
        <f t="shared" si="101"/>
        <v>1</v>
      </c>
      <c r="F91" s="180">
        <f t="shared" ref="F91:G91" si="134">F90+E91</f>
        <v>88</v>
      </c>
      <c r="G91" s="180">
        <f t="shared" si="134"/>
        <v>3812</v>
      </c>
      <c r="H91" s="181"/>
      <c r="I91" s="109">
        <f t="shared" si="103"/>
        <v>3.02</v>
      </c>
      <c r="J91" s="182">
        <f t="shared" si="104"/>
        <v>1.4596202096324599E+24</v>
      </c>
      <c r="K91" s="182">
        <f t="shared" si="123"/>
        <v>2.1858368840384882E+24</v>
      </c>
      <c r="L91" s="183"/>
      <c r="M91" s="184">
        <f t="shared" si="105"/>
        <v>-1.1584935485404E+27</v>
      </c>
      <c r="N91" s="219">
        <f t="shared" si="119"/>
        <v>-1.6549907836291428E+23</v>
      </c>
      <c r="O91" s="184">
        <f t="shared" si="106"/>
        <v>2.1858368840384899E+25</v>
      </c>
      <c r="P91" s="185">
        <f t="shared" si="120"/>
        <v>9.5636808643163301E+26</v>
      </c>
      <c r="Q91" s="186">
        <f t="shared" si="107"/>
        <v>1.3662401234737615E+23</v>
      </c>
      <c r="R91" s="187">
        <f t="shared" si="124"/>
        <v>44</v>
      </c>
      <c r="S91" s="188">
        <f t="shared" si="125"/>
        <v>0.01</v>
      </c>
      <c r="T91" s="189">
        <f t="shared" si="126"/>
        <v>-9</v>
      </c>
      <c r="U91" s="188">
        <f t="shared" si="127"/>
        <v>0</v>
      </c>
      <c r="V91" s="190"/>
      <c r="W91" s="191">
        <f t="shared" si="108"/>
        <v>2.31742426445761E+26</v>
      </c>
      <c r="X91" s="192">
        <f t="shared" si="109"/>
        <v>1.18811051287739E+27</v>
      </c>
      <c r="Y91" s="193">
        <f t="shared" si="110"/>
        <v>0.24</v>
      </c>
      <c r="Z91" s="193">
        <f t="shared" si="111"/>
        <v>3.3106060920822998E+22</v>
      </c>
      <c r="AA91" s="194"/>
      <c r="AB91" s="195">
        <f t="shared" si="112"/>
        <v>-1.18811051287739E+27</v>
      </c>
      <c r="AC91" s="193">
        <f t="shared" si="113"/>
        <v>1.6973007326819901E+23</v>
      </c>
      <c r="AD91" s="196">
        <f t="shared" si="114"/>
        <v>0</v>
      </c>
      <c r="AE91" s="196">
        <f t="shared" si="115"/>
        <v>0</v>
      </c>
      <c r="AF91" s="179">
        <v>75</v>
      </c>
    </row>
    <row r="92" spans="1:32" s="10" customFormat="1" ht="15" customHeight="1" x14ac:dyDescent="0.2">
      <c r="A92" s="162">
        <v>76</v>
      </c>
      <c r="B92" s="106">
        <f t="shared" si="116"/>
        <v>-1</v>
      </c>
      <c r="C92" s="163">
        <f t="shared" si="117"/>
        <v>-54</v>
      </c>
      <c r="D92" s="155"/>
      <c r="E92" s="106">
        <f t="shared" si="101"/>
        <v>1</v>
      </c>
      <c r="F92" s="164">
        <f t="shared" ref="F92:G92" si="135">F91+E92</f>
        <v>89</v>
      </c>
      <c r="G92" s="165">
        <f t="shared" si="135"/>
        <v>3901</v>
      </c>
      <c r="H92" s="155"/>
      <c r="I92" s="107">
        <f t="shared" si="103"/>
        <v>3.04</v>
      </c>
      <c r="J92" s="166">
        <f t="shared" si="104"/>
        <v>4.4372454372826802E+24</v>
      </c>
      <c r="K92" s="167">
        <f t="shared" si="123"/>
        <v>6.6230823213211679E+24</v>
      </c>
      <c r="L92" s="155"/>
      <c r="M92" s="168">
        <f t="shared" si="105"/>
        <v>-3.5764644535134302E+27</v>
      </c>
      <c r="N92" s="218">
        <f t="shared" si="119"/>
        <v>-5.1092349335906144E+23</v>
      </c>
      <c r="O92" s="168">
        <f t="shared" si="106"/>
        <v>6.62308232132117E+25</v>
      </c>
      <c r="P92" s="169">
        <f t="shared" si="120"/>
        <v>2.9017629132258903E+27</v>
      </c>
      <c r="Q92" s="170">
        <f t="shared" si="107"/>
        <v>4.1453755903227002E+23</v>
      </c>
      <c r="R92" s="156">
        <f t="shared" si="124"/>
        <v>44</v>
      </c>
      <c r="S92" s="171">
        <f t="shared" si="125"/>
        <v>0.01</v>
      </c>
      <c r="T92" s="172">
        <f t="shared" si="126"/>
        <v>-10</v>
      </c>
      <c r="U92" s="173">
        <f t="shared" si="127"/>
        <v>0</v>
      </c>
      <c r="V92" s="155"/>
      <c r="W92" s="174">
        <f t="shared" si="108"/>
        <v>7.0217918770646994E+26</v>
      </c>
      <c r="X92" s="175">
        <f t="shared" si="109"/>
        <v>3.6039421009323598E+27</v>
      </c>
      <c r="Y92" s="176">
        <f t="shared" si="110"/>
        <v>0.24</v>
      </c>
      <c r="Z92" s="176">
        <f t="shared" si="111"/>
        <v>1.00311312529496E+23</v>
      </c>
      <c r="AA92" s="155"/>
      <c r="AB92" s="177">
        <f t="shared" si="112"/>
        <v>-3.6039421009323598E+27</v>
      </c>
      <c r="AC92" s="176">
        <f t="shared" si="113"/>
        <v>5.1484887156176602E+23</v>
      </c>
      <c r="AD92" s="178">
        <f t="shared" si="114"/>
        <v>0</v>
      </c>
      <c r="AE92" s="178">
        <f t="shared" si="115"/>
        <v>0</v>
      </c>
      <c r="AF92" s="179">
        <v>76</v>
      </c>
    </row>
    <row r="93" spans="1:32" s="10" customFormat="1" ht="15" customHeight="1" x14ac:dyDescent="0.2">
      <c r="A93" s="162">
        <v>77</v>
      </c>
      <c r="B93" s="106">
        <f t="shared" si="116"/>
        <v>-1</v>
      </c>
      <c r="C93" s="163">
        <f t="shared" si="117"/>
        <v>-55</v>
      </c>
      <c r="D93" s="155"/>
      <c r="E93" s="106">
        <f t="shared" si="101"/>
        <v>1</v>
      </c>
      <c r="F93" s="164">
        <f t="shared" ref="F93:G93" si="136">F92+E93</f>
        <v>90</v>
      </c>
      <c r="G93" s="165">
        <f t="shared" si="136"/>
        <v>3991</v>
      </c>
      <c r="H93" s="155"/>
      <c r="I93" s="107">
        <f t="shared" si="103"/>
        <v>3.06</v>
      </c>
      <c r="J93" s="166">
        <f t="shared" si="104"/>
        <v>1.3577971038085E+25</v>
      </c>
      <c r="K93" s="167">
        <f t="shared" si="123"/>
        <v>2.020105335940617E+25</v>
      </c>
      <c r="L93" s="155"/>
      <c r="M93" s="168">
        <f t="shared" si="105"/>
        <v>-1.1110579347673399E+28</v>
      </c>
      <c r="N93" s="218">
        <f t="shared" si="119"/>
        <v>-1.5872256210962E+24</v>
      </c>
      <c r="O93" s="168">
        <f t="shared" si="106"/>
        <v>2.0201053359406201E+26</v>
      </c>
      <c r="P93" s="169">
        <f t="shared" si="120"/>
        <v>8.8625370024149397E+27</v>
      </c>
      <c r="Q93" s="170">
        <f t="shared" si="107"/>
        <v>1.2660767146307056E+24</v>
      </c>
      <c r="R93" s="156">
        <f t="shared" si="124"/>
        <v>44</v>
      </c>
      <c r="S93" s="171">
        <f t="shared" si="125"/>
        <v>0.01</v>
      </c>
      <c r="T93" s="172">
        <f t="shared" si="126"/>
        <v>-11</v>
      </c>
      <c r="U93" s="173">
        <f t="shared" si="127"/>
        <v>0</v>
      </c>
      <c r="V93" s="155"/>
      <c r="W93" s="174">
        <f t="shared" si="108"/>
        <v>2.14171567716424E+27</v>
      </c>
      <c r="X93" s="175">
        <f t="shared" si="109"/>
        <v>1.1004252679579199E+28</v>
      </c>
      <c r="Y93" s="176">
        <f t="shared" si="110"/>
        <v>0.24</v>
      </c>
      <c r="Z93" s="176">
        <f t="shared" si="111"/>
        <v>3.0595938245203403E+23</v>
      </c>
      <c r="AA93" s="155"/>
      <c r="AB93" s="177">
        <f t="shared" si="112"/>
        <v>-1.1004252679579199E+28</v>
      </c>
      <c r="AC93" s="176">
        <f t="shared" si="113"/>
        <v>1.57203609708274E+24</v>
      </c>
      <c r="AD93" s="178">
        <f t="shared" si="114"/>
        <v>0</v>
      </c>
      <c r="AE93" s="178">
        <f t="shared" si="115"/>
        <v>0</v>
      </c>
      <c r="AF93" s="179">
        <v>77</v>
      </c>
    </row>
    <row r="94" spans="1:32" s="10" customFormat="1" ht="15" customHeight="1" x14ac:dyDescent="0.2">
      <c r="A94" s="162">
        <v>78</v>
      </c>
      <c r="B94" s="106">
        <f t="shared" si="116"/>
        <v>-1</v>
      </c>
      <c r="C94" s="163">
        <f t="shared" si="117"/>
        <v>-56</v>
      </c>
      <c r="D94" s="155"/>
      <c r="E94" s="106">
        <f t="shared" si="101"/>
        <v>1</v>
      </c>
      <c r="F94" s="164">
        <f t="shared" ref="F94:G94" si="137">F93+E94</f>
        <v>91</v>
      </c>
      <c r="G94" s="165">
        <f t="shared" si="137"/>
        <v>4082</v>
      </c>
      <c r="H94" s="155"/>
      <c r="I94" s="107">
        <f t="shared" si="103"/>
        <v>3.08</v>
      </c>
      <c r="J94" s="166">
        <f t="shared" si="104"/>
        <v>4.1820150797301803E+25</v>
      </c>
      <c r="K94" s="167">
        <f t="shared" si="123"/>
        <v>6.2021204156707974E+25</v>
      </c>
      <c r="L94" s="155"/>
      <c r="M94" s="168">
        <f t="shared" si="105"/>
        <v>-3.47318743277565E+28</v>
      </c>
      <c r="N94" s="218">
        <f t="shared" si="119"/>
        <v>-4.9616963325366432E+24</v>
      </c>
      <c r="O94" s="168">
        <f t="shared" si="106"/>
        <v>6.2021204156707998E+26</v>
      </c>
      <c r="P94" s="169">
        <f t="shared" si="120"/>
        <v>2.72454955594746E+28</v>
      </c>
      <c r="Q94" s="170">
        <f t="shared" si="107"/>
        <v>3.8922136513535144E+24</v>
      </c>
      <c r="R94" s="156">
        <f t="shared" si="124"/>
        <v>44</v>
      </c>
      <c r="S94" s="171">
        <f t="shared" si="125"/>
        <v>0.01</v>
      </c>
      <c r="T94" s="172">
        <f t="shared" si="126"/>
        <v>-12</v>
      </c>
      <c r="U94" s="173">
        <f t="shared" si="127"/>
        <v>0</v>
      </c>
      <c r="V94" s="155"/>
      <c r="W94" s="174">
        <f t="shared" si="108"/>
        <v>6.5754880646941797E+27</v>
      </c>
      <c r="X94" s="175">
        <f t="shared" si="109"/>
        <v>3.38209836241688E+28</v>
      </c>
      <c r="Y94" s="176">
        <f t="shared" si="110"/>
        <v>0.24</v>
      </c>
      <c r="Z94" s="176">
        <f t="shared" si="111"/>
        <v>9.39355437813454E+23</v>
      </c>
      <c r="AA94" s="155"/>
      <c r="AB94" s="177">
        <f t="shared" si="112"/>
        <v>-3.38209836241688E+28</v>
      </c>
      <c r="AC94" s="176">
        <f t="shared" si="113"/>
        <v>4.83156908916697E+24</v>
      </c>
      <c r="AD94" s="178">
        <f t="shared" si="114"/>
        <v>0</v>
      </c>
      <c r="AE94" s="178">
        <f t="shared" si="115"/>
        <v>0</v>
      </c>
      <c r="AF94" s="179">
        <v>78</v>
      </c>
    </row>
    <row r="95" spans="1:32" s="10" customFormat="1" ht="15" customHeight="1" x14ac:dyDescent="0.2">
      <c r="A95" s="162">
        <v>79</v>
      </c>
      <c r="B95" s="106">
        <f t="shared" si="116"/>
        <v>-1</v>
      </c>
      <c r="C95" s="163">
        <f t="shared" si="117"/>
        <v>-57</v>
      </c>
      <c r="D95" s="155"/>
      <c r="E95" s="106">
        <f t="shared" si="101"/>
        <v>1</v>
      </c>
      <c r="F95" s="164">
        <f t="shared" ref="F95:G95" si="138">F94+E95</f>
        <v>92</v>
      </c>
      <c r="G95" s="165">
        <f t="shared" si="138"/>
        <v>4174</v>
      </c>
      <c r="H95" s="155"/>
      <c r="I95" s="107">
        <f t="shared" si="103"/>
        <v>3.1</v>
      </c>
      <c r="J95" s="166">
        <f t="shared" si="104"/>
        <v>1.2964246747163601E+26</v>
      </c>
      <c r="K95" s="167">
        <f t="shared" si="123"/>
        <v>1.9166367162834398E+26</v>
      </c>
      <c r="L95" s="155"/>
      <c r="M95" s="168">
        <f t="shared" si="105"/>
        <v>-1.09248292828156E+29</v>
      </c>
      <c r="N95" s="218">
        <f t="shared" si="119"/>
        <v>-1.5606898975450857E+25</v>
      </c>
      <c r="O95" s="168">
        <f t="shared" si="106"/>
        <v>1.91663671628344E+27</v>
      </c>
      <c r="P95" s="169">
        <f t="shared" si="120"/>
        <v>8.4305003383646008E+28</v>
      </c>
      <c r="Q95" s="170">
        <f t="shared" si="107"/>
        <v>1.204357191194943E+25</v>
      </c>
      <c r="R95" s="156">
        <f t="shared" si="124"/>
        <v>44</v>
      </c>
      <c r="S95" s="171">
        <f t="shared" si="125"/>
        <v>0.01</v>
      </c>
      <c r="T95" s="172">
        <f t="shared" si="126"/>
        <v>-13</v>
      </c>
      <c r="U95" s="173">
        <f t="shared" si="127"/>
        <v>0</v>
      </c>
      <c r="V95" s="155"/>
      <c r="W95" s="174">
        <f t="shared" si="108"/>
        <v>2.0320182466037001E+28</v>
      </c>
      <c r="X95" s="175">
        <f t="shared" si="109"/>
        <v>1.0462518584968299E+29</v>
      </c>
      <c r="Y95" s="176">
        <f t="shared" si="110"/>
        <v>0.24</v>
      </c>
      <c r="Z95" s="176">
        <f t="shared" si="111"/>
        <v>2.9028832094338602E+24</v>
      </c>
      <c r="AA95" s="155"/>
      <c r="AB95" s="177">
        <f t="shared" si="112"/>
        <v>-1.0462518584968299E+29</v>
      </c>
      <c r="AC95" s="176">
        <f t="shared" si="113"/>
        <v>1.4946455121383301E+25</v>
      </c>
      <c r="AD95" s="178">
        <f t="shared" si="114"/>
        <v>0</v>
      </c>
      <c r="AE95" s="178">
        <f t="shared" si="115"/>
        <v>0</v>
      </c>
      <c r="AF95" s="179">
        <v>79</v>
      </c>
    </row>
    <row r="96" spans="1:32" s="10" customFormat="1" ht="15" customHeight="1" x14ac:dyDescent="0.2">
      <c r="A96" s="162">
        <v>80</v>
      </c>
      <c r="B96" s="108">
        <f t="shared" si="116"/>
        <v>-1</v>
      </c>
      <c r="C96" s="180">
        <f t="shared" si="117"/>
        <v>-58</v>
      </c>
      <c r="D96" s="181"/>
      <c r="E96" s="108">
        <f t="shared" si="101"/>
        <v>1</v>
      </c>
      <c r="F96" s="180">
        <f t="shared" ref="F96:G96" si="139">F95+E96</f>
        <v>93</v>
      </c>
      <c r="G96" s="180">
        <f t="shared" si="139"/>
        <v>4267</v>
      </c>
      <c r="H96" s="181"/>
      <c r="I96" s="109">
        <f t="shared" si="103"/>
        <v>3.12</v>
      </c>
      <c r="J96" s="182">
        <f t="shared" si="104"/>
        <v>4.0448449851150398E+26</v>
      </c>
      <c r="K96" s="182">
        <f t="shared" si="123"/>
        <v>5.9614817013984793E+26</v>
      </c>
      <c r="L96" s="183"/>
      <c r="M96" s="184">
        <f t="shared" si="105"/>
        <v>-3.4576593868111198E+29</v>
      </c>
      <c r="N96" s="219">
        <f t="shared" si="119"/>
        <v>-4.9395134097301711E+25</v>
      </c>
      <c r="O96" s="184">
        <f t="shared" si="106"/>
        <v>5.9614817013984796E+27</v>
      </c>
      <c r="P96" s="185">
        <f t="shared" si="120"/>
        <v>2.62552217998006E+29</v>
      </c>
      <c r="Q96" s="186">
        <f t="shared" si="107"/>
        <v>3.750745971400086E+25</v>
      </c>
      <c r="R96" s="187">
        <f t="shared" si="124"/>
        <v>44</v>
      </c>
      <c r="S96" s="188">
        <f t="shared" si="125"/>
        <v>0.01</v>
      </c>
      <c r="T96" s="189">
        <f t="shared" si="126"/>
        <v>-14</v>
      </c>
      <c r="U96" s="188">
        <f t="shared" si="127"/>
        <v>0</v>
      </c>
      <c r="V96" s="190"/>
      <c r="W96" s="191">
        <f t="shared" si="108"/>
        <v>6.32036289982267E+28</v>
      </c>
      <c r="X96" s="192">
        <f t="shared" si="109"/>
        <v>3.2575584699623299E+29</v>
      </c>
      <c r="Y96" s="193">
        <f t="shared" si="110"/>
        <v>0.24</v>
      </c>
      <c r="Z96" s="193">
        <f t="shared" si="111"/>
        <v>9.0290898568895305E+24</v>
      </c>
      <c r="AA96" s="194"/>
      <c r="AB96" s="195">
        <f t="shared" si="112"/>
        <v>-3.2575584699623299E+29</v>
      </c>
      <c r="AC96" s="193">
        <f t="shared" si="113"/>
        <v>4.6536549570890399E+25</v>
      </c>
      <c r="AD96" s="196">
        <f t="shared" si="114"/>
        <v>0</v>
      </c>
      <c r="AE96" s="196">
        <f t="shared" si="115"/>
        <v>0</v>
      </c>
      <c r="AF96" s="179">
        <v>80</v>
      </c>
    </row>
    <row r="97" spans="1:32" s="10" customFormat="1" ht="15" customHeight="1" x14ac:dyDescent="0.2">
      <c r="A97" s="162">
        <v>81</v>
      </c>
      <c r="B97" s="106">
        <f t="shared" si="116"/>
        <v>-1</v>
      </c>
      <c r="C97" s="163">
        <f t="shared" si="117"/>
        <v>-59</v>
      </c>
      <c r="D97" s="155"/>
      <c r="E97" s="106">
        <f t="shared" si="101"/>
        <v>1</v>
      </c>
      <c r="F97" s="164">
        <f t="shared" ref="F97:G97" si="140">F96+E97</f>
        <v>94</v>
      </c>
      <c r="G97" s="165">
        <f t="shared" si="140"/>
        <v>4361</v>
      </c>
      <c r="H97" s="155"/>
      <c r="I97" s="107">
        <f t="shared" si="103"/>
        <v>3.14</v>
      </c>
      <c r="J97" s="166">
        <f t="shared" si="104"/>
        <v>1.27008132532612E+27</v>
      </c>
      <c r="K97" s="167">
        <f t="shared" si="123"/>
        <v>1.8662294954659681E+27</v>
      </c>
      <c r="L97" s="155"/>
      <c r="M97" s="168">
        <f t="shared" si="105"/>
        <v>-1.10107540232492E+30</v>
      </c>
      <c r="N97" s="218">
        <f t="shared" si="119"/>
        <v>-1.5729648604641713E+26</v>
      </c>
      <c r="O97" s="168">
        <f t="shared" si="106"/>
        <v>1.8662294954659701E+28</v>
      </c>
      <c r="P97" s="169">
        <f t="shared" si="120"/>
        <v>8.2293149792946305E+29</v>
      </c>
      <c r="Q97" s="170">
        <f t="shared" si="107"/>
        <v>1.1756164256135186E+26</v>
      </c>
      <c r="R97" s="156">
        <f t="shared" si="124"/>
        <v>44</v>
      </c>
      <c r="S97" s="171">
        <f t="shared" si="125"/>
        <v>0.01</v>
      </c>
      <c r="T97" s="172">
        <f t="shared" si="126"/>
        <v>-15</v>
      </c>
      <c r="U97" s="173">
        <f t="shared" si="127"/>
        <v>0</v>
      </c>
      <c r="V97" s="155"/>
      <c r="W97" s="174">
        <f t="shared" si="108"/>
        <v>1.9785765110930201E+29</v>
      </c>
      <c r="X97" s="175">
        <f t="shared" si="109"/>
        <v>1.02078914903877E+30</v>
      </c>
      <c r="Y97" s="176">
        <f t="shared" si="110"/>
        <v>0.24</v>
      </c>
      <c r="Z97" s="176">
        <f t="shared" si="111"/>
        <v>2.8265378729900301E+25</v>
      </c>
      <c r="AA97" s="155"/>
      <c r="AB97" s="177">
        <f t="shared" si="112"/>
        <v>-1.02078914903877E+30</v>
      </c>
      <c r="AC97" s="176">
        <f t="shared" si="113"/>
        <v>1.4582702129125301E+26</v>
      </c>
      <c r="AD97" s="178">
        <f t="shared" si="114"/>
        <v>0</v>
      </c>
      <c r="AE97" s="178">
        <f t="shared" si="115"/>
        <v>0</v>
      </c>
      <c r="AF97" s="179">
        <v>81</v>
      </c>
    </row>
    <row r="98" spans="1:32" s="10" customFormat="1" ht="15" customHeight="1" x14ac:dyDescent="0.2">
      <c r="A98" s="162">
        <v>82</v>
      </c>
      <c r="B98" s="106">
        <f t="shared" si="116"/>
        <v>-1</v>
      </c>
      <c r="C98" s="163">
        <f t="shared" si="117"/>
        <v>-60</v>
      </c>
      <c r="D98" s="155"/>
      <c r="E98" s="106">
        <f t="shared" si="101"/>
        <v>1</v>
      </c>
      <c r="F98" s="164">
        <f t="shared" ref="F98:G98" si="141">F97+E98</f>
        <v>95</v>
      </c>
      <c r="G98" s="165">
        <f t="shared" si="141"/>
        <v>4456</v>
      </c>
      <c r="H98" s="155"/>
      <c r="I98" s="107">
        <f t="shared" si="103"/>
        <v>3.16</v>
      </c>
      <c r="J98" s="166">
        <f t="shared" si="104"/>
        <v>4.0134569880305402E+27</v>
      </c>
      <c r="K98" s="167">
        <f t="shared" si="123"/>
        <v>5.8796864834965083E+27</v>
      </c>
      <c r="L98" s="155"/>
      <c r="M98" s="168">
        <f t="shared" si="105"/>
        <v>-3.5278118900979099E+30</v>
      </c>
      <c r="N98" s="218">
        <f t="shared" si="119"/>
        <v>-5.0397312715684427E+26</v>
      </c>
      <c r="O98" s="168">
        <f t="shared" si="106"/>
        <v>5.8796864834965097E+28</v>
      </c>
      <c r="P98" s="169">
        <f t="shared" si="120"/>
        <v>2.5958495186221297E+30</v>
      </c>
      <c r="Q98" s="170">
        <f t="shared" si="107"/>
        <v>3.7083564551744709E+26</v>
      </c>
      <c r="R98" s="156">
        <f t="shared" si="124"/>
        <v>44</v>
      </c>
      <c r="S98" s="171">
        <f t="shared" si="125"/>
        <v>0.01</v>
      </c>
      <c r="T98" s="172">
        <f t="shared" si="126"/>
        <v>-16</v>
      </c>
      <c r="U98" s="173">
        <f t="shared" si="127"/>
        <v>0</v>
      </c>
      <c r="V98" s="155"/>
      <c r="W98" s="174">
        <f t="shared" si="108"/>
        <v>6.2336436098029999E+29</v>
      </c>
      <c r="X98" s="175">
        <f t="shared" si="109"/>
        <v>3.21921387960243E+30</v>
      </c>
      <c r="Y98" s="176">
        <f t="shared" si="110"/>
        <v>0.24</v>
      </c>
      <c r="Z98" s="176">
        <f t="shared" si="111"/>
        <v>8.9052051568614291E+25</v>
      </c>
      <c r="AA98" s="155"/>
      <c r="AB98" s="177">
        <f t="shared" si="112"/>
        <v>-3.21921387960243E+30</v>
      </c>
      <c r="AC98" s="176">
        <f t="shared" si="113"/>
        <v>4.5988769708606101E+26</v>
      </c>
      <c r="AD98" s="178">
        <f t="shared" si="114"/>
        <v>0</v>
      </c>
      <c r="AE98" s="178">
        <f t="shared" si="115"/>
        <v>0</v>
      </c>
      <c r="AF98" s="179">
        <v>82</v>
      </c>
    </row>
    <row r="99" spans="1:32" s="10" customFormat="1" ht="15" customHeight="1" x14ac:dyDescent="0.2">
      <c r="A99" s="162">
        <v>83</v>
      </c>
      <c r="B99" s="106">
        <f t="shared" si="116"/>
        <v>-1</v>
      </c>
      <c r="C99" s="163">
        <f t="shared" si="117"/>
        <v>-61</v>
      </c>
      <c r="D99" s="155"/>
      <c r="E99" s="106">
        <f t="shared" si="101"/>
        <v>1</v>
      </c>
      <c r="F99" s="164">
        <f t="shared" ref="F99:G99" si="142">F98+E99</f>
        <v>96</v>
      </c>
      <c r="G99" s="165">
        <f t="shared" si="142"/>
        <v>4552</v>
      </c>
      <c r="H99" s="155"/>
      <c r="I99" s="107">
        <f t="shared" si="103"/>
        <v>3.18</v>
      </c>
      <c r="J99" s="166">
        <f t="shared" si="104"/>
        <v>1.2762793221937099E+28</v>
      </c>
      <c r="K99" s="167">
        <f t="shared" si="123"/>
        <v>1.8642479705433608E+28</v>
      </c>
      <c r="L99" s="155"/>
      <c r="M99" s="168">
        <f t="shared" si="105"/>
        <v>-1.1371912620314499E+31</v>
      </c>
      <c r="N99" s="218">
        <f t="shared" si="119"/>
        <v>-1.6245589457592142E+27</v>
      </c>
      <c r="O99" s="168">
        <f t="shared" si="106"/>
        <v>1.8642479705433601E+29</v>
      </c>
      <c r="P99" s="169">
        <f t="shared" si="120"/>
        <v>8.2403485427787804E+30</v>
      </c>
      <c r="Q99" s="170">
        <f t="shared" si="107"/>
        <v>1.1771926489683973E+27</v>
      </c>
      <c r="R99" s="156">
        <f t="shared" si="124"/>
        <v>44</v>
      </c>
      <c r="S99" s="171">
        <f t="shared" si="125"/>
        <v>0.01</v>
      </c>
      <c r="T99" s="172">
        <f t="shared" si="126"/>
        <v>-17</v>
      </c>
      <c r="U99" s="173">
        <f t="shared" si="127"/>
        <v>0</v>
      </c>
      <c r="V99" s="155"/>
      <c r="W99" s="174">
        <f t="shared" si="108"/>
        <v>1.9764756983700701E+30</v>
      </c>
      <c r="X99" s="175">
        <f t="shared" si="109"/>
        <v>1.0216824241148901E+31</v>
      </c>
      <c r="Y99" s="176">
        <f t="shared" si="110"/>
        <v>0.24</v>
      </c>
      <c r="Z99" s="176">
        <f t="shared" si="111"/>
        <v>2.82353671195724E+26</v>
      </c>
      <c r="AA99" s="155"/>
      <c r="AB99" s="177">
        <f t="shared" si="112"/>
        <v>-1.0216824241148901E+31</v>
      </c>
      <c r="AC99" s="176">
        <f t="shared" si="113"/>
        <v>1.45954632016413E+27</v>
      </c>
      <c r="AD99" s="178">
        <f t="shared" si="114"/>
        <v>0</v>
      </c>
      <c r="AE99" s="178">
        <f t="shared" si="115"/>
        <v>0</v>
      </c>
      <c r="AF99" s="179">
        <v>83</v>
      </c>
    </row>
    <row r="100" spans="1:32" s="10" customFormat="1" ht="15" customHeight="1" x14ac:dyDescent="0.2">
      <c r="A100" s="162">
        <v>84</v>
      </c>
      <c r="B100" s="106">
        <f t="shared" si="116"/>
        <v>-1</v>
      </c>
      <c r="C100" s="163">
        <f t="shared" si="117"/>
        <v>-62</v>
      </c>
      <c r="D100" s="155"/>
      <c r="E100" s="106">
        <f t="shared" si="101"/>
        <v>1</v>
      </c>
      <c r="F100" s="164">
        <f t="shared" ref="F100:G100" si="143">F99+E100</f>
        <v>97</v>
      </c>
      <c r="G100" s="165">
        <f t="shared" si="143"/>
        <v>4649</v>
      </c>
      <c r="H100" s="155"/>
      <c r="I100" s="107">
        <f t="shared" si="103"/>
        <v>3.2</v>
      </c>
      <c r="J100" s="166">
        <f t="shared" si="104"/>
        <v>4.0840938310198702E+28</v>
      </c>
      <c r="K100" s="167">
        <f t="shared" si="123"/>
        <v>5.9483418015632312E+28</v>
      </c>
      <c r="L100" s="155"/>
      <c r="M100" s="168">
        <f t="shared" si="105"/>
        <v>-3.6879719169692001E+31</v>
      </c>
      <c r="N100" s="218">
        <f t="shared" si="119"/>
        <v>-5.2685313099559998E+27</v>
      </c>
      <c r="O100" s="168">
        <f t="shared" si="106"/>
        <v>5.9483418015632301E+29</v>
      </c>
      <c r="P100" s="169">
        <f t="shared" si="120"/>
        <v>2.63235538570494E+31</v>
      </c>
      <c r="Q100" s="170">
        <f t="shared" si="107"/>
        <v>3.7605076938641998E+27</v>
      </c>
      <c r="R100" s="156">
        <f t="shared" si="124"/>
        <v>44</v>
      </c>
      <c r="S100" s="171">
        <f t="shared" si="125"/>
        <v>0.01</v>
      </c>
      <c r="T100" s="172">
        <f t="shared" si="126"/>
        <v>-18</v>
      </c>
      <c r="U100" s="173">
        <f t="shared" si="127"/>
        <v>0</v>
      </c>
      <c r="V100" s="155"/>
      <c r="W100" s="174">
        <f t="shared" si="108"/>
        <v>6.3064319780173401E+30</v>
      </c>
      <c r="X100" s="175">
        <f t="shared" si="109"/>
        <v>3.2629985835066699E+31</v>
      </c>
      <c r="Y100" s="176">
        <f t="shared" si="110"/>
        <v>0.24</v>
      </c>
      <c r="Z100" s="176">
        <f t="shared" si="111"/>
        <v>9.0091885400247703E+26</v>
      </c>
      <c r="AA100" s="155"/>
      <c r="AB100" s="177">
        <f t="shared" si="112"/>
        <v>-3.2629985835066699E+31</v>
      </c>
      <c r="AC100" s="176">
        <f t="shared" si="113"/>
        <v>4.6614265478666701E+27</v>
      </c>
      <c r="AD100" s="178">
        <f t="shared" si="114"/>
        <v>0</v>
      </c>
      <c r="AE100" s="178">
        <f t="shared" si="115"/>
        <v>0</v>
      </c>
      <c r="AF100" s="179">
        <v>84</v>
      </c>
    </row>
    <row r="101" spans="1:32" s="10" customFormat="1" ht="15" customHeight="1" x14ac:dyDescent="0.2">
      <c r="A101" s="162">
        <v>85</v>
      </c>
      <c r="B101" s="108">
        <f t="shared" si="116"/>
        <v>-1</v>
      </c>
      <c r="C101" s="180">
        <f t="shared" si="117"/>
        <v>-63</v>
      </c>
      <c r="D101" s="181"/>
      <c r="E101" s="108">
        <f t="shared" si="101"/>
        <v>1</v>
      </c>
      <c r="F101" s="180">
        <f t="shared" ref="F101:G101" si="144">F100+E101</f>
        <v>98</v>
      </c>
      <c r="G101" s="180">
        <f t="shared" si="144"/>
        <v>4747</v>
      </c>
      <c r="H101" s="181"/>
      <c r="I101" s="109">
        <f t="shared" si="103"/>
        <v>3.22</v>
      </c>
      <c r="J101" s="182">
        <f t="shared" si="104"/>
        <v>1.3150782135884E+29</v>
      </c>
      <c r="K101" s="182">
        <f t="shared" si="123"/>
        <v>1.9099123937447232E+29</v>
      </c>
      <c r="L101" s="183"/>
      <c r="M101" s="184">
        <f t="shared" si="105"/>
        <v>-1.20324480805917E+32</v>
      </c>
      <c r="N101" s="219">
        <f t="shared" si="119"/>
        <v>-1.7189211543702429E+28</v>
      </c>
      <c r="O101" s="184">
        <f t="shared" si="106"/>
        <v>1.90991239374472E+30</v>
      </c>
      <c r="P101" s="185">
        <f t="shared" si="120"/>
        <v>8.4617303512369006E+31</v>
      </c>
      <c r="Q101" s="186">
        <f t="shared" si="107"/>
        <v>1.2088186216052715E+28</v>
      </c>
      <c r="R101" s="187">
        <f t="shared" si="124"/>
        <v>44</v>
      </c>
      <c r="S101" s="188">
        <f t="shared" si="125"/>
        <v>0.01</v>
      </c>
      <c r="T101" s="189">
        <f t="shared" si="126"/>
        <v>-19</v>
      </c>
      <c r="U101" s="188">
        <f t="shared" si="127"/>
        <v>0</v>
      </c>
      <c r="V101" s="190"/>
      <c r="W101" s="191">
        <f t="shared" si="108"/>
        <v>2.02488911984816E+31</v>
      </c>
      <c r="X101" s="192">
        <f t="shared" si="109"/>
        <v>1.0486619471085101E+32</v>
      </c>
      <c r="Y101" s="193">
        <f t="shared" si="110"/>
        <v>0.24</v>
      </c>
      <c r="Z101" s="193">
        <f t="shared" si="111"/>
        <v>2.89269874264023E+27</v>
      </c>
      <c r="AA101" s="194"/>
      <c r="AB101" s="195">
        <f t="shared" si="112"/>
        <v>-1.0486619471085101E+32</v>
      </c>
      <c r="AC101" s="193">
        <f t="shared" si="113"/>
        <v>1.4980884958693E+28</v>
      </c>
      <c r="AD101" s="196">
        <f t="shared" si="114"/>
        <v>0</v>
      </c>
      <c r="AE101" s="196">
        <f t="shared" si="115"/>
        <v>0</v>
      </c>
      <c r="AF101" s="179">
        <v>85</v>
      </c>
    </row>
    <row r="102" spans="1:32" s="10" customFormat="1" ht="15" customHeight="1" x14ac:dyDescent="0.2">
      <c r="A102" s="162">
        <v>86</v>
      </c>
      <c r="B102" s="106">
        <f t="shared" si="116"/>
        <v>-1</v>
      </c>
      <c r="C102" s="163">
        <f t="shared" si="117"/>
        <v>-64</v>
      </c>
      <c r="D102" s="155"/>
      <c r="E102" s="106">
        <f t="shared" si="101"/>
        <v>1</v>
      </c>
      <c r="F102" s="164">
        <f t="shared" ref="F102:G102" si="145">F101+E102</f>
        <v>99</v>
      </c>
      <c r="G102" s="165">
        <f t="shared" si="145"/>
        <v>4846</v>
      </c>
      <c r="H102" s="155"/>
      <c r="I102" s="107">
        <f t="shared" si="103"/>
        <v>3.24</v>
      </c>
      <c r="J102" s="166">
        <f t="shared" si="104"/>
        <v>4.2608534120264202E+29</v>
      </c>
      <c r="K102" s="167">
        <f t="shared" si="123"/>
        <v>6.170765805771143E+29</v>
      </c>
      <c r="L102" s="155"/>
      <c r="M102" s="168">
        <f t="shared" si="105"/>
        <v>-3.9492901156935303E+32</v>
      </c>
      <c r="N102" s="218">
        <f t="shared" si="119"/>
        <v>-5.6418430224193293E+28</v>
      </c>
      <c r="O102" s="168">
        <f t="shared" si="106"/>
        <v>6.1707658057711399E+30</v>
      </c>
      <c r="P102" s="169">
        <f t="shared" si="120"/>
        <v>2.7369863049309602E+32</v>
      </c>
      <c r="Q102" s="170">
        <f t="shared" si="107"/>
        <v>3.9099804356156574E+28</v>
      </c>
      <c r="R102" s="156">
        <f t="shared" si="124"/>
        <v>44</v>
      </c>
      <c r="S102" s="171">
        <f t="shared" si="125"/>
        <v>0.01</v>
      </c>
      <c r="T102" s="172">
        <f t="shared" si="126"/>
        <v>-20</v>
      </c>
      <c r="U102" s="173">
        <f t="shared" si="127"/>
        <v>0</v>
      </c>
      <c r="V102" s="155"/>
      <c r="W102" s="174">
        <f t="shared" si="108"/>
        <v>6.5422459072785696E+31</v>
      </c>
      <c r="X102" s="175">
        <f t="shared" si="109"/>
        <v>3.3912108956588203E+32</v>
      </c>
      <c r="Y102" s="176">
        <f t="shared" si="110"/>
        <v>0.24</v>
      </c>
      <c r="Z102" s="176">
        <f t="shared" si="111"/>
        <v>9.3460655818265301E+27</v>
      </c>
      <c r="AA102" s="155"/>
      <c r="AB102" s="177">
        <f t="shared" si="112"/>
        <v>-3.3912108956588203E+32</v>
      </c>
      <c r="AC102" s="176">
        <f t="shared" si="113"/>
        <v>4.8445869937983099E+28</v>
      </c>
      <c r="AD102" s="178">
        <f t="shared" si="114"/>
        <v>0</v>
      </c>
      <c r="AE102" s="178">
        <f t="shared" si="115"/>
        <v>0</v>
      </c>
      <c r="AF102" s="179">
        <v>86</v>
      </c>
    </row>
    <row r="103" spans="1:32" s="10" customFormat="1" ht="15" customHeight="1" x14ac:dyDescent="0.2">
      <c r="A103" s="162">
        <v>87</v>
      </c>
      <c r="B103" s="106">
        <f t="shared" si="116"/>
        <v>-1</v>
      </c>
      <c r="C103" s="163">
        <f t="shared" si="117"/>
        <v>-65</v>
      </c>
      <c r="D103" s="155"/>
      <c r="E103" s="106">
        <f t="shared" si="101"/>
        <v>1</v>
      </c>
      <c r="F103" s="164">
        <f t="shared" ref="F103:G103" si="146">F102+E103</f>
        <v>100</v>
      </c>
      <c r="G103" s="165">
        <f t="shared" si="146"/>
        <v>4946</v>
      </c>
      <c r="H103" s="155"/>
      <c r="I103" s="107">
        <f t="shared" si="103"/>
        <v>3.26</v>
      </c>
      <c r="J103" s="166">
        <f t="shared" si="104"/>
        <v>1.3890382123206101E+30</v>
      </c>
      <c r="K103" s="167">
        <f t="shared" si="123"/>
        <v>2.0061147928977245E+30</v>
      </c>
      <c r="L103" s="155"/>
      <c r="M103" s="168">
        <f t="shared" si="105"/>
        <v>-1.30397461538352E+33</v>
      </c>
      <c r="N103" s="218">
        <f t="shared" si="119"/>
        <v>-1.8628208791193143E+29</v>
      </c>
      <c r="O103" s="168">
        <f t="shared" si="106"/>
        <v>2.00611479289772E+31</v>
      </c>
      <c r="P103" s="169">
        <f t="shared" si="120"/>
        <v>8.9077521107021003E+32</v>
      </c>
      <c r="Q103" s="170">
        <f t="shared" si="107"/>
        <v>1.2725360158145858E+29</v>
      </c>
      <c r="R103" s="156">
        <f t="shared" si="124"/>
        <v>44</v>
      </c>
      <c r="S103" s="171">
        <f t="shared" si="125"/>
        <v>0.01</v>
      </c>
      <c r="T103" s="172">
        <f t="shared" si="126"/>
        <v>-21</v>
      </c>
      <c r="U103" s="173">
        <f t="shared" si="127"/>
        <v>0</v>
      </c>
      <c r="V103" s="155"/>
      <c r="W103" s="174">
        <f t="shared" si="108"/>
        <v>2.1268829034301699E+32</v>
      </c>
      <c r="X103" s="175">
        <f t="shared" si="109"/>
        <v>1.10346350141323E+33</v>
      </c>
      <c r="Y103" s="176">
        <f t="shared" si="110"/>
        <v>0.24</v>
      </c>
      <c r="Z103" s="176">
        <f t="shared" si="111"/>
        <v>3.03840414775739E+28</v>
      </c>
      <c r="AA103" s="155"/>
      <c r="AB103" s="177">
        <f t="shared" si="112"/>
        <v>-1.10346350141323E+33</v>
      </c>
      <c r="AC103" s="176">
        <f t="shared" si="113"/>
        <v>1.57637643059033E+29</v>
      </c>
      <c r="AD103" s="178">
        <f t="shared" si="114"/>
        <v>0</v>
      </c>
      <c r="AE103" s="178">
        <f t="shared" si="115"/>
        <v>0</v>
      </c>
      <c r="AF103" s="179">
        <v>87</v>
      </c>
    </row>
    <row r="104" spans="1:32" s="10" customFormat="1" ht="15" customHeight="1" x14ac:dyDescent="0.2">
      <c r="A104" s="162">
        <v>88</v>
      </c>
      <c r="B104" s="106">
        <f t="shared" si="116"/>
        <v>-1</v>
      </c>
      <c r="C104" s="163">
        <f t="shared" si="117"/>
        <v>-66</v>
      </c>
      <c r="D104" s="155"/>
      <c r="E104" s="106">
        <f t="shared" si="101"/>
        <v>1</v>
      </c>
      <c r="F104" s="164">
        <f t="shared" ref="F104:G104" si="147">F103+E104</f>
        <v>101</v>
      </c>
      <c r="G104" s="165">
        <f t="shared" si="147"/>
        <v>5047</v>
      </c>
      <c r="H104" s="155"/>
      <c r="I104" s="107">
        <f t="shared" si="103"/>
        <v>3.28</v>
      </c>
      <c r="J104" s="166">
        <f t="shared" si="104"/>
        <v>4.5560453364116002E+30</v>
      </c>
      <c r="K104" s="167">
        <f t="shared" si="123"/>
        <v>6.5621601293093253E+30</v>
      </c>
      <c r="L104" s="155"/>
      <c r="M104" s="168">
        <f t="shared" si="105"/>
        <v>-4.3310256853441598E+33</v>
      </c>
      <c r="N104" s="218">
        <f t="shared" si="119"/>
        <v>-6.1871795504916565E+29</v>
      </c>
      <c r="O104" s="168">
        <f t="shared" si="106"/>
        <v>6.5621601293093303E+31</v>
      </c>
      <c r="P104" s="169">
        <f t="shared" si="120"/>
        <v>2.9169511518969099E+33</v>
      </c>
      <c r="Q104" s="170">
        <f t="shared" si="107"/>
        <v>4.1670730741384429E+29</v>
      </c>
      <c r="R104" s="156">
        <f t="shared" si="124"/>
        <v>44</v>
      </c>
      <c r="S104" s="171">
        <f t="shared" si="125"/>
        <v>0.01</v>
      </c>
      <c r="T104" s="172">
        <f t="shared" si="126"/>
        <v>-22</v>
      </c>
      <c r="U104" s="173">
        <f t="shared" si="127"/>
        <v>0</v>
      </c>
      <c r="V104" s="155"/>
      <c r="W104" s="174">
        <f t="shared" si="108"/>
        <v>6.9572021690937503E+32</v>
      </c>
      <c r="X104" s="175">
        <f t="shared" si="109"/>
        <v>3.6126713688062802E+33</v>
      </c>
      <c r="Y104" s="176">
        <f t="shared" si="110"/>
        <v>0.24</v>
      </c>
      <c r="Z104" s="176">
        <f t="shared" si="111"/>
        <v>9.9388602415624997E+28</v>
      </c>
      <c r="AA104" s="155"/>
      <c r="AB104" s="177">
        <f t="shared" si="112"/>
        <v>-3.6126713688062802E+33</v>
      </c>
      <c r="AC104" s="176">
        <f t="shared" si="113"/>
        <v>5.1609590982946902E+29</v>
      </c>
      <c r="AD104" s="178">
        <f t="shared" si="114"/>
        <v>0</v>
      </c>
      <c r="AE104" s="178">
        <f t="shared" si="115"/>
        <v>0</v>
      </c>
      <c r="AF104" s="179">
        <v>88</v>
      </c>
    </row>
    <row r="105" spans="1:32" s="10" customFormat="1" ht="15" customHeight="1" x14ac:dyDescent="0.2">
      <c r="A105" s="162">
        <v>89</v>
      </c>
      <c r="B105" s="106">
        <f t="shared" si="116"/>
        <v>-1</v>
      </c>
      <c r="C105" s="163">
        <f t="shared" si="117"/>
        <v>-67</v>
      </c>
      <c r="D105" s="155"/>
      <c r="E105" s="106">
        <f t="shared" si="101"/>
        <v>1</v>
      </c>
      <c r="F105" s="164">
        <f t="shared" ref="F105:G105" si="148">F104+E105</f>
        <v>102</v>
      </c>
      <c r="G105" s="165">
        <f t="shared" si="148"/>
        <v>5149</v>
      </c>
      <c r="H105" s="155"/>
      <c r="I105" s="107">
        <f t="shared" si="103"/>
        <v>3.3</v>
      </c>
      <c r="J105" s="166">
        <f t="shared" si="104"/>
        <v>1.5034949610158299E+31</v>
      </c>
      <c r="K105" s="167">
        <f t="shared" si="123"/>
        <v>2.1597109739467622E+31</v>
      </c>
      <c r="L105" s="155"/>
      <c r="M105" s="168">
        <f t="shared" si="105"/>
        <v>-1.4470063525443299E+34</v>
      </c>
      <c r="N105" s="218">
        <f t="shared" si="119"/>
        <v>-2.0671519322061855E+30</v>
      </c>
      <c r="O105" s="168">
        <f t="shared" si="106"/>
        <v>2.1597109739467599E+32</v>
      </c>
      <c r="P105" s="169">
        <f t="shared" si="120"/>
        <v>9.6103544837924301E+33</v>
      </c>
      <c r="Q105" s="170">
        <f t="shared" si="107"/>
        <v>1.3729077833989185E+30</v>
      </c>
      <c r="R105" s="156">
        <f t="shared" si="124"/>
        <v>44</v>
      </c>
      <c r="S105" s="171">
        <f t="shared" si="125"/>
        <v>0.01</v>
      </c>
      <c r="T105" s="172">
        <f t="shared" si="126"/>
        <v>-23</v>
      </c>
      <c r="U105" s="173">
        <f t="shared" si="127"/>
        <v>0</v>
      </c>
      <c r="V105" s="155"/>
      <c r="W105" s="174">
        <f t="shared" si="108"/>
        <v>2.28972557457836E+33</v>
      </c>
      <c r="X105" s="175">
        <f t="shared" si="109"/>
        <v>1.19000800583708E+34</v>
      </c>
      <c r="Y105" s="176">
        <f t="shared" si="110"/>
        <v>0.24</v>
      </c>
      <c r="Z105" s="176">
        <f t="shared" si="111"/>
        <v>3.2710365351119402E+29</v>
      </c>
      <c r="AA105" s="155"/>
      <c r="AB105" s="177">
        <f t="shared" si="112"/>
        <v>-1.19000800583708E+34</v>
      </c>
      <c r="AC105" s="176">
        <f t="shared" si="113"/>
        <v>1.7000114369101101E+30</v>
      </c>
      <c r="AD105" s="178">
        <f t="shared" si="114"/>
        <v>0</v>
      </c>
      <c r="AE105" s="178">
        <f t="shared" si="115"/>
        <v>0</v>
      </c>
      <c r="AF105" s="179">
        <v>89</v>
      </c>
    </row>
    <row r="106" spans="1:32" s="10" customFormat="1" ht="15" customHeight="1" x14ac:dyDescent="0.2">
      <c r="A106" s="162">
        <v>90</v>
      </c>
      <c r="B106" s="108">
        <f t="shared" si="116"/>
        <v>-1</v>
      </c>
      <c r="C106" s="180">
        <f t="shared" si="117"/>
        <v>-68</v>
      </c>
      <c r="D106" s="181"/>
      <c r="E106" s="108">
        <f t="shared" si="101"/>
        <v>1</v>
      </c>
      <c r="F106" s="180">
        <f t="shared" ref="F106:G106" si="149">F105+E106</f>
        <v>103</v>
      </c>
      <c r="G106" s="180">
        <f t="shared" si="149"/>
        <v>5252</v>
      </c>
      <c r="H106" s="181"/>
      <c r="I106" s="109">
        <f t="shared" si="103"/>
        <v>3.32</v>
      </c>
      <c r="J106" s="182">
        <f t="shared" si="104"/>
        <v>4.9916032705725598E+31</v>
      </c>
      <c r="K106" s="182">
        <f t="shared" si="123"/>
        <v>7.151314244519322E+31</v>
      </c>
      <c r="L106" s="183"/>
      <c r="M106" s="184">
        <f t="shared" si="105"/>
        <v>-4.8628936862731396E+34</v>
      </c>
      <c r="N106" s="219">
        <f t="shared" si="119"/>
        <v>-6.9469909803901994E+30</v>
      </c>
      <c r="O106" s="184">
        <f t="shared" si="106"/>
        <v>7.1513142445193206E+32</v>
      </c>
      <c r="P106" s="185">
        <f t="shared" si="120"/>
        <v>3.1855377515444101E+34</v>
      </c>
      <c r="Q106" s="186">
        <f t="shared" si="107"/>
        <v>4.5507682164920147E+30</v>
      </c>
      <c r="R106" s="187">
        <f t="shared" si="124"/>
        <v>45</v>
      </c>
      <c r="S106" s="188">
        <f t="shared" si="125"/>
        <v>0.01</v>
      </c>
      <c r="T106" s="189">
        <f t="shared" si="126"/>
        <v>-23</v>
      </c>
      <c r="U106" s="188">
        <f t="shared" si="127"/>
        <v>0</v>
      </c>
      <c r="V106" s="190"/>
      <c r="W106" s="191">
        <f t="shared" si="108"/>
        <v>7.5818233620393897E+33</v>
      </c>
      <c r="X106" s="192">
        <f t="shared" si="109"/>
        <v>3.9437200877483498E+34</v>
      </c>
      <c r="Y106" s="193">
        <f t="shared" si="110"/>
        <v>0.24</v>
      </c>
      <c r="Z106" s="193">
        <f t="shared" si="111"/>
        <v>1.08311762314848E+30</v>
      </c>
      <c r="AA106" s="194"/>
      <c r="AB106" s="195">
        <f t="shared" si="112"/>
        <v>-3.9437200877483498E+34</v>
      </c>
      <c r="AC106" s="193">
        <f t="shared" si="113"/>
        <v>5.6338858396404995E+30</v>
      </c>
      <c r="AD106" s="196">
        <f t="shared" si="114"/>
        <v>0</v>
      </c>
      <c r="AE106" s="196">
        <f t="shared" si="115"/>
        <v>0</v>
      </c>
      <c r="AF106" s="179">
        <v>90</v>
      </c>
    </row>
    <row r="107" spans="1:32" s="10" customFormat="1" ht="15" customHeight="1" x14ac:dyDescent="0.2">
      <c r="A107" s="162">
        <v>91</v>
      </c>
      <c r="B107" s="106">
        <f t="shared" si="116"/>
        <v>-1</v>
      </c>
      <c r="C107" s="163">
        <f t="shared" si="117"/>
        <v>-69</v>
      </c>
      <c r="D107" s="155"/>
      <c r="E107" s="106">
        <f t="shared" si="101"/>
        <v>1</v>
      </c>
      <c r="F107" s="164">
        <f t="shared" ref="F107:G107" si="150">F106+E107</f>
        <v>104</v>
      </c>
      <c r="G107" s="165">
        <f t="shared" si="150"/>
        <v>5356</v>
      </c>
      <c r="H107" s="155"/>
      <c r="I107" s="107">
        <f t="shared" si="103"/>
        <v>3.34</v>
      </c>
      <c r="J107" s="166">
        <f t="shared" si="104"/>
        <v>1.6671954923712299E+32</v>
      </c>
      <c r="K107" s="167">
        <f t="shared" si="123"/>
        <v>2.3823269168231621E+32</v>
      </c>
      <c r="L107" s="155"/>
      <c r="M107" s="168">
        <f t="shared" si="105"/>
        <v>-1.6438055726079801E+35</v>
      </c>
      <c r="N107" s="218">
        <f t="shared" si="119"/>
        <v>-2.3482936751542574E+31</v>
      </c>
      <c r="O107" s="168">
        <f t="shared" si="106"/>
        <v>2.3823269168231601E+33</v>
      </c>
      <c r="P107" s="169">
        <f t="shared" si="120"/>
        <v>1.0622904565844501E+35</v>
      </c>
      <c r="Q107" s="170">
        <f t="shared" si="107"/>
        <v>1.5175577951206429E+31</v>
      </c>
      <c r="R107" s="156">
        <f t="shared" si="124"/>
        <v>45</v>
      </c>
      <c r="S107" s="171">
        <f t="shared" si="125"/>
        <v>0.01</v>
      </c>
      <c r="T107" s="172">
        <f t="shared" si="126"/>
        <v>-24</v>
      </c>
      <c r="U107" s="173">
        <f t="shared" si="127"/>
        <v>0</v>
      </c>
      <c r="V107" s="155"/>
      <c r="W107" s="174">
        <f t="shared" si="108"/>
        <v>2.5257429972159201E+34</v>
      </c>
      <c r="X107" s="175">
        <f t="shared" si="109"/>
        <v>1.3148647563060401E+35</v>
      </c>
      <c r="Y107" s="176">
        <f t="shared" si="110"/>
        <v>0.24</v>
      </c>
      <c r="Z107" s="176">
        <f t="shared" si="111"/>
        <v>3.6082042817370297E+30</v>
      </c>
      <c r="AA107" s="155"/>
      <c r="AB107" s="177">
        <f t="shared" si="112"/>
        <v>-1.3148647563060401E+35</v>
      </c>
      <c r="AC107" s="176">
        <f t="shared" si="113"/>
        <v>1.8783782232943399E+31</v>
      </c>
      <c r="AD107" s="178">
        <f t="shared" si="114"/>
        <v>0</v>
      </c>
      <c r="AE107" s="178">
        <f t="shared" si="115"/>
        <v>0</v>
      </c>
      <c r="AF107" s="179">
        <v>91</v>
      </c>
    </row>
    <row r="108" spans="1:32" s="10" customFormat="1" ht="15" customHeight="1" x14ac:dyDescent="0.2">
      <c r="A108" s="162">
        <v>92</v>
      </c>
      <c r="B108" s="106">
        <f t="shared" si="116"/>
        <v>-1</v>
      </c>
      <c r="C108" s="163">
        <f t="shared" si="117"/>
        <v>-70</v>
      </c>
      <c r="D108" s="155"/>
      <c r="E108" s="106">
        <f t="shared" si="101"/>
        <v>1</v>
      </c>
      <c r="F108" s="164">
        <f t="shared" ref="F108:G108" si="151">F107+E108</f>
        <v>105</v>
      </c>
      <c r="G108" s="165">
        <f t="shared" si="151"/>
        <v>5461</v>
      </c>
      <c r="H108" s="155"/>
      <c r="I108" s="107">
        <f t="shared" si="103"/>
        <v>3.36</v>
      </c>
      <c r="J108" s="166">
        <f t="shared" si="104"/>
        <v>5.6017768543673299E+32</v>
      </c>
      <c r="K108" s="167">
        <f t="shared" si="123"/>
        <v>7.9841037711904924E+32</v>
      </c>
      <c r="L108" s="155"/>
      <c r="M108" s="168">
        <f t="shared" si="105"/>
        <v>-5.5888726398333398E+35</v>
      </c>
      <c r="N108" s="218">
        <f t="shared" si="119"/>
        <v>-7.9841037711904859E+31</v>
      </c>
      <c r="O108" s="168">
        <f t="shared" si="106"/>
        <v>7.9841037711904895E+33</v>
      </c>
      <c r="P108" s="169">
        <f t="shared" si="120"/>
        <v>3.56373371924877E+35</v>
      </c>
      <c r="Q108" s="170">
        <f t="shared" si="107"/>
        <v>5.0910481703553861E+31</v>
      </c>
      <c r="R108" s="156">
        <f t="shared" si="124"/>
        <v>45</v>
      </c>
      <c r="S108" s="171">
        <f t="shared" si="125"/>
        <v>0.01</v>
      </c>
      <c r="T108" s="172">
        <f t="shared" si="126"/>
        <v>-25</v>
      </c>
      <c r="U108" s="173">
        <f t="shared" si="127"/>
        <v>0</v>
      </c>
      <c r="V108" s="155"/>
      <c r="W108" s="174">
        <f t="shared" si="108"/>
        <v>8.46474681821616E+34</v>
      </c>
      <c r="X108" s="175">
        <f t="shared" si="109"/>
        <v>4.4102084010703903E+35</v>
      </c>
      <c r="Y108" s="176">
        <f t="shared" si="110"/>
        <v>0.24</v>
      </c>
      <c r="Z108" s="176">
        <f t="shared" si="111"/>
        <v>1.2092495454594499E+31</v>
      </c>
      <c r="AA108" s="155"/>
      <c r="AB108" s="177">
        <f t="shared" si="112"/>
        <v>-4.4102084010703903E+35</v>
      </c>
      <c r="AC108" s="176">
        <f t="shared" si="113"/>
        <v>6.3002977158148403E+31</v>
      </c>
      <c r="AD108" s="178">
        <f t="shared" si="114"/>
        <v>0</v>
      </c>
      <c r="AE108" s="178">
        <f t="shared" si="115"/>
        <v>0</v>
      </c>
      <c r="AF108" s="179">
        <v>92</v>
      </c>
    </row>
    <row r="109" spans="1:32" s="10" customFormat="1" ht="15" customHeight="1" x14ac:dyDescent="0.2">
      <c r="A109" s="162">
        <v>93</v>
      </c>
      <c r="B109" s="106">
        <f t="shared" si="116"/>
        <v>-1</v>
      </c>
      <c r="C109" s="163">
        <f t="shared" si="117"/>
        <v>-71</v>
      </c>
      <c r="D109" s="155"/>
      <c r="E109" s="106">
        <f t="shared" si="101"/>
        <v>1</v>
      </c>
      <c r="F109" s="164">
        <f t="shared" ref="F109:G109" si="152">F108+E109</f>
        <v>106</v>
      </c>
      <c r="G109" s="165">
        <f t="shared" si="152"/>
        <v>5567</v>
      </c>
      <c r="H109" s="155"/>
      <c r="I109" s="107">
        <f t="shared" si="103"/>
        <v>3.38</v>
      </c>
      <c r="J109" s="166">
        <f t="shared" si="104"/>
        <v>1.8934005767761599E+33</v>
      </c>
      <c r="K109" s="167">
        <f t="shared" si="123"/>
        <v>2.6918109538952091E+33</v>
      </c>
      <c r="L109" s="155"/>
      <c r="M109" s="168">
        <f t="shared" si="105"/>
        <v>-1.9111857772656E+36</v>
      </c>
      <c r="N109" s="218">
        <f t="shared" si="119"/>
        <v>-2.7302653960937145E+32</v>
      </c>
      <c r="O109" s="168">
        <f t="shared" si="106"/>
        <v>2.6918109538952098E+34</v>
      </c>
      <c r="P109" s="169">
        <f t="shared" si="120"/>
        <v>1.2026883716710699E+36</v>
      </c>
      <c r="Q109" s="170">
        <f t="shared" si="107"/>
        <v>1.7181262452443855E+32</v>
      </c>
      <c r="R109" s="156">
        <f t="shared" si="124"/>
        <v>45</v>
      </c>
      <c r="S109" s="171">
        <f t="shared" si="125"/>
        <v>0.01</v>
      </c>
      <c r="T109" s="172">
        <f t="shared" si="126"/>
        <v>-26</v>
      </c>
      <c r="U109" s="173">
        <f t="shared" si="127"/>
        <v>0</v>
      </c>
      <c r="V109" s="155"/>
      <c r="W109" s="174">
        <f t="shared" si="108"/>
        <v>2.8538579733197001E+35</v>
      </c>
      <c r="X109" s="175">
        <f t="shared" si="109"/>
        <v>1.48807416900304E+36</v>
      </c>
      <c r="Y109" s="176">
        <f t="shared" si="110"/>
        <v>0.24</v>
      </c>
      <c r="Z109" s="176">
        <f t="shared" si="111"/>
        <v>4.0769399618852899E+31</v>
      </c>
      <c r="AA109" s="155"/>
      <c r="AB109" s="177">
        <f t="shared" si="112"/>
        <v>-1.48807416900304E+36</v>
      </c>
      <c r="AC109" s="176">
        <f t="shared" si="113"/>
        <v>2.1258202414329101E+32</v>
      </c>
      <c r="AD109" s="178">
        <f t="shared" si="114"/>
        <v>0</v>
      </c>
      <c r="AE109" s="178">
        <f t="shared" si="115"/>
        <v>0</v>
      </c>
      <c r="AF109" s="179">
        <v>93</v>
      </c>
    </row>
    <row r="110" spans="1:32" s="10" customFormat="1" ht="15" customHeight="1" x14ac:dyDescent="0.2">
      <c r="A110" s="162">
        <v>94</v>
      </c>
      <c r="B110" s="106">
        <f t="shared" si="116"/>
        <v>-1</v>
      </c>
      <c r="C110" s="163">
        <f t="shared" si="117"/>
        <v>-72</v>
      </c>
      <c r="D110" s="155"/>
      <c r="E110" s="106">
        <f t="shared" si="101"/>
        <v>1</v>
      </c>
      <c r="F110" s="164">
        <f t="shared" ref="F110:G110" si="153">F109+E110</f>
        <v>107</v>
      </c>
      <c r="G110" s="165">
        <f t="shared" si="153"/>
        <v>5674</v>
      </c>
      <c r="H110" s="155"/>
      <c r="I110" s="107">
        <f t="shared" si="103"/>
        <v>3.4</v>
      </c>
      <c r="J110" s="166">
        <f t="shared" si="104"/>
        <v>6.4375619610389395E+33</v>
      </c>
      <c r="K110" s="167">
        <f t="shared" si="123"/>
        <v>9.1293729149341487E+33</v>
      </c>
      <c r="L110" s="155"/>
      <c r="M110" s="168">
        <f t="shared" si="105"/>
        <v>-6.57314849875259E+36</v>
      </c>
      <c r="N110" s="218">
        <f t="shared" si="119"/>
        <v>-9.3902121410751282E+32</v>
      </c>
      <c r="O110" s="168">
        <f t="shared" si="106"/>
        <v>9.1293729149341503E+34</v>
      </c>
      <c r="P110" s="169">
        <f t="shared" si="120"/>
        <v>4.08292609233894E+36</v>
      </c>
      <c r="Q110" s="170">
        <f t="shared" si="107"/>
        <v>5.8327515604842002E+32</v>
      </c>
      <c r="R110" s="156">
        <f t="shared" si="124"/>
        <v>45</v>
      </c>
      <c r="S110" s="171">
        <f t="shared" si="125"/>
        <v>0.01</v>
      </c>
      <c r="T110" s="172">
        <f t="shared" si="126"/>
        <v>-27</v>
      </c>
      <c r="U110" s="173">
        <f t="shared" si="127"/>
        <v>0</v>
      </c>
      <c r="V110" s="155"/>
      <c r="W110" s="174">
        <f t="shared" si="108"/>
        <v>9.6789611644131794E+35</v>
      </c>
      <c r="X110" s="175">
        <f t="shared" si="109"/>
        <v>5.0508222087802598E+36</v>
      </c>
      <c r="Y110" s="176">
        <f t="shared" si="110"/>
        <v>0.24</v>
      </c>
      <c r="Z110" s="176">
        <f t="shared" si="111"/>
        <v>1.3827087377733099E+32</v>
      </c>
      <c r="AA110" s="155"/>
      <c r="AB110" s="177">
        <f t="shared" si="112"/>
        <v>-5.0508222087802598E+36</v>
      </c>
      <c r="AC110" s="176">
        <f t="shared" si="113"/>
        <v>7.2154602982575103E+32</v>
      </c>
      <c r="AD110" s="178">
        <f t="shared" si="114"/>
        <v>0</v>
      </c>
      <c r="AE110" s="178">
        <f t="shared" si="115"/>
        <v>0</v>
      </c>
      <c r="AF110" s="179">
        <v>94</v>
      </c>
    </row>
    <row r="111" spans="1:32" s="10" customFormat="1" ht="15" customHeight="1" x14ac:dyDescent="0.2">
      <c r="A111" s="162">
        <v>95</v>
      </c>
      <c r="B111" s="108">
        <f t="shared" si="116"/>
        <v>-1</v>
      </c>
      <c r="C111" s="180">
        <f t="shared" si="117"/>
        <v>-73</v>
      </c>
      <c r="D111" s="181"/>
      <c r="E111" s="108">
        <f t="shared" si="101"/>
        <v>1</v>
      </c>
      <c r="F111" s="180">
        <f t="shared" ref="F111:G111" si="154">F110+E111</f>
        <v>108</v>
      </c>
      <c r="G111" s="180">
        <f t="shared" si="154"/>
        <v>5782</v>
      </c>
      <c r="H111" s="181"/>
      <c r="I111" s="109">
        <f t="shared" si="103"/>
        <v>3.42</v>
      </c>
      <c r="J111" s="182">
        <f t="shared" si="104"/>
        <v>2.2016461906753199E+34</v>
      </c>
      <c r="K111" s="182">
        <f t="shared" si="123"/>
        <v>3.1145834821687347E+34</v>
      </c>
      <c r="L111" s="183"/>
      <c r="M111" s="184">
        <f t="shared" si="105"/>
        <v>-2.2736459419831699E+37</v>
      </c>
      <c r="N111" s="219">
        <f t="shared" si="119"/>
        <v>-3.2480656314045283E+33</v>
      </c>
      <c r="O111" s="184">
        <f t="shared" si="106"/>
        <v>3.11458348216873E+35</v>
      </c>
      <c r="P111" s="185">
        <f t="shared" si="120"/>
        <v>1.39426488404678E+37</v>
      </c>
      <c r="Q111" s="186">
        <f t="shared" si="107"/>
        <v>1.9918069772096857E+33</v>
      </c>
      <c r="R111" s="187">
        <f t="shared" si="124"/>
        <v>45</v>
      </c>
      <c r="S111" s="188">
        <f t="shared" si="125"/>
        <v>0.01</v>
      </c>
      <c r="T111" s="189">
        <f t="shared" si="126"/>
        <v>-28</v>
      </c>
      <c r="U111" s="188">
        <f t="shared" si="127"/>
        <v>0</v>
      </c>
      <c r="V111" s="190"/>
      <c r="W111" s="191">
        <f t="shared" si="108"/>
        <v>3.3020814077952898E+36</v>
      </c>
      <c r="X111" s="192">
        <f t="shared" si="109"/>
        <v>1.72447302482631E+37</v>
      </c>
      <c r="Y111" s="193">
        <f t="shared" si="110"/>
        <v>0.24</v>
      </c>
      <c r="Z111" s="193">
        <f t="shared" si="111"/>
        <v>4.7172591539932699E+32</v>
      </c>
      <c r="AA111" s="194"/>
      <c r="AB111" s="195">
        <f t="shared" si="112"/>
        <v>-1.72447302482631E+37</v>
      </c>
      <c r="AC111" s="193">
        <f t="shared" si="113"/>
        <v>2.46353289260901E+33</v>
      </c>
      <c r="AD111" s="196">
        <f t="shared" si="114"/>
        <v>0</v>
      </c>
      <c r="AE111" s="196">
        <f t="shared" si="115"/>
        <v>0</v>
      </c>
      <c r="AF111" s="179">
        <v>95</v>
      </c>
    </row>
    <row r="112" spans="1:32" s="10" customFormat="1" ht="15" customHeight="1" x14ac:dyDescent="0.2">
      <c r="A112" s="162">
        <v>96</v>
      </c>
      <c r="B112" s="106">
        <f t="shared" si="116"/>
        <v>-1</v>
      </c>
      <c r="C112" s="163">
        <f t="shared" si="117"/>
        <v>-74</v>
      </c>
      <c r="D112" s="155"/>
      <c r="E112" s="106">
        <f t="shared" si="101"/>
        <v>1</v>
      </c>
      <c r="F112" s="164">
        <f t="shared" ref="F112:G112" si="155">F111+E112</f>
        <v>109</v>
      </c>
      <c r="G112" s="165">
        <f t="shared" si="155"/>
        <v>5891</v>
      </c>
      <c r="H112" s="155"/>
      <c r="I112" s="107">
        <f t="shared" si="103"/>
        <v>3.44</v>
      </c>
      <c r="J112" s="166">
        <f t="shared" si="104"/>
        <v>7.5736628959231001E+34</v>
      </c>
      <c r="K112" s="167">
        <f t="shared" si="123"/>
        <v>1.0688246378091835E+35</v>
      </c>
      <c r="L112" s="155"/>
      <c r="M112" s="168">
        <f t="shared" si="105"/>
        <v>-7.9093023197879297E+37</v>
      </c>
      <c r="N112" s="218">
        <f t="shared" si="119"/>
        <v>-1.1299003313982758E+34</v>
      </c>
      <c r="O112" s="168">
        <f t="shared" si="106"/>
        <v>1.0688246378091801E+36</v>
      </c>
      <c r="P112" s="169">
        <f t="shared" si="120"/>
        <v>4.7891608796107002E+37</v>
      </c>
      <c r="Q112" s="170">
        <f t="shared" si="107"/>
        <v>6.8416583994438569E+33</v>
      </c>
      <c r="R112" s="156">
        <f t="shared" si="124"/>
        <v>45</v>
      </c>
      <c r="S112" s="171">
        <f t="shared" si="125"/>
        <v>0.01</v>
      </c>
      <c r="T112" s="172">
        <f t="shared" si="126"/>
        <v>-29</v>
      </c>
      <c r="U112" s="173">
        <f t="shared" si="127"/>
        <v>0</v>
      </c>
      <c r="V112" s="155"/>
      <c r="W112" s="174">
        <f t="shared" si="108"/>
        <v>1.1331678810053E+37</v>
      </c>
      <c r="X112" s="175">
        <f t="shared" si="109"/>
        <v>5.9223287606160002E+37</v>
      </c>
      <c r="Y112" s="176">
        <f t="shared" si="110"/>
        <v>0.24</v>
      </c>
      <c r="Z112" s="176">
        <f t="shared" si="111"/>
        <v>1.6188112585790001E+33</v>
      </c>
      <c r="AA112" s="155"/>
      <c r="AB112" s="177">
        <f t="shared" si="112"/>
        <v>-5.9223287606160002E+37</v>
      </c>
      <c r="AC112" s="176">
        <f t="shared" si="113"/>
        <v>8.4604696580228599E+33</v>
      </c>
      <c r="AD112" s="178">
        <f t="shared" si="114"/>
        <v>0</v>
      </c>
      <c r="AE112" s="178">
        <f t="shared" si="115"/>
        <v>0</v>
      </c>
      <c r="AF112" s="179">
        <v>96</v>
      </c>
    </row>
    <row r="113" spans="1:32" s="10" customFormat="1" ht="15" customHeight="1" x14ac:dyDescent="0.2">
      <c r="A113" s="162">
        <v>97</v>
      </c>
      <c r="B113" s="106">
        <f t="shared" si="116"/>
        <v>-1</v>
      </c>
      <c r="C113" s="163">
        <f t="shared" si="117"/>
        <v>-75</v>
      </c>
      <c r="D113" s="155"/>
      <c r="E113" s="106">
        <f t="shared" si="101"/>
        <v>1</v>
      </c>
      <c r="F113" s="164">
        <f t="shared" ref="F113:G113" si="156">F112+E113</f>
        <v>110</v>
      </c>
      <c r="G113" s="165">
        <f t="shared" si="156"/>
        <v>6001</v>
      </c>
      <c r="H113" s="155"/>
      <c r="I113" s="107">
        <f t="shared" si="103"/>
        <v>3.46</v>
      </c>
      <c r="J113" s="166">
        <f t="shared" ref="J113:J116" si="157">IF($A113&lt;K$5, K$3, IF(K$2=0,IF(K$14&gt;0,IF(K$3*K$14&lt;ROUND(J112*I113, 3),K$3*K$14,ROUND(J112*I113, 3)),ROUND(J112*I113, 3)),IF(K$14&gt;0,IF(K$3*K$14&lt;ROUND(K$3*I113, 3),K$3*K$14,ROUND(K$3*I113, 3)),ROUND(K$3*I113, 3))))</f>
        <v>2.6204873619893901E+35</v>
      </c>
      <c r="K113" s="167">
        <f t="shared" si="123"/>
        <v>3.6893119997985736E+35</v>
      </c>
      <c r="L113" s="155"/>
      <c r="M113" s="168">
        <f t="shared" si="105"/>
        <v>-2.7669839998489302E+38</v>
      </c>
      <c r="N113" s="218">
        <f t="shared" si="119"/>
        <v>-3.9528342854984715E+34</v>
      </c>
      <c r="O113" s="168">
        <f t="shared" si="106"/>
        <v>3.6893119997985701E+36</v>
      </c>
      <c r="P113" s="169">
        <f t="shared" si="120"/>
        <v>1.65462318955117E+38</v>
      </c>
      <c r="Q113" s="170">
        <f t="shared" ref="Q113:Q116" si="158">P113/$P$10</f>
        <v>2.3637474136445284E+34</v>
      </c>
      <c r="R113" s="156">
        <f t="shared" si="124"/>
        <v>45</v>
      </c>
      <c r="S113" s="171">
        <f t="shared" si="125"/>
        <v>0.01</v>
      </c>
      <c r="T113" s="172">
        <f t="shared" si="126"/>
        <v>-30</v>
      </c>
      <c r="U113" s="173">
        <f t="shared" si="127"/>
        <v>0</v>
      </c>
      <c r="V113" s="155"/>
      <c r="W113" s="174">
        <f t="shared" si="108"/>
        <v>3.9114085821864498E+37</v>
      </c>
      <c r="X113" s="175">
        <f t="shared" ref="X113:X116" si="159">ROUND(P113+W113,2)</f>
        <v>2.04576404776981E+38</v>
      </c>
      <c r="Y113" s="176">
        <f t="shared" si="110"/>
        <v>0.24</v>
      </c>
      <c r="Z113" s="176">
        <f t="shared" si="111"/>
        <v>5.58772654598064E+33</v>
      </c>
      <c r="AA113" s="155"/>
      <c r="AB113" s="177">
        <f t="shared" si="112"/>
        <v>-2.04576404776981E+38</v>
      </c>
      <c r="AC113" s="176">
        <f t="shared" si="113"/>
        <v>2.9225200682425902E+34</v>
      </c>
      <c r="AD113" s="178">
        <f t="shared" si="114"/>
        <v>0</v>
      </c>
      <c r="AE113" s="178">
        <f t="shared" ref="AE113:AE116" si="160">IF(AD113&gt;0,AD113+G113,0)</f>
        <v>0</v>
      </c>
      <c r="AF113" s="179">
        <v>97</v>
      </c>
    </row>
    <row r="114" spans="1:32" s="10" customFormat="1" ht="15" customHeight="1" x14ac:dyDescent="0.2">
      <c r="A114" s="162">
        <v>98</v>
      </c>
      <c r="B114" s="106">
        <f t="shared" ref="B114:B116" si="161">IF(AND($A114&gt;=C$13,C$13&gt;0),0,IF(AND($A114&gt;=C$10,C$10&gt;0),C$11,IF(AND($A114&gt;=C$7,C$7&gt;0),C$8,0)))</f>
        <v>-1</v>
      </c>
      <c r="C114" s="163">
        <f t="shared" ref="C114:C116" si="162">IF(AND($A114&gt;=C$13,C$13&gt;0),C$14,C113+B114)</f>
        <v>-76</v>
      </c>
      <c r="D114" s="155"/>
      <c r="E114" s="106">
        <f t="shared" si="101"/>
        <v>1</v>
      </c>
      <c r="F114" s="164">
        <f t="shared" ref="F114:G114" si="163">F113+E114</f>
        <v>111</v>
      </c>
      <c r="G114" s="165">
        <f t="shared" si="163"/>
        <v>6112</v>
      </c>
      <c r="H114" s="155"/>
      <c r="I114" s="107">
        <f t="shared" si="103"/>
        <v>3.48</v>
      </c>
      <c r="J114" s="166">
        <f t="shared" si="157"/>
        <v>9.1192960197230807E+35</v>
      </c>
      <c r="K114" s="167">
        <f t="shared" si="123"/>
        <v>1.2808608019521654E+36</v>
      </c>
      <c r="L114" s="155"/>
      <c r="M114" s="168">
        <f t="shared" si="105"/>
        <v>-9.7345420948364903E+38</v>
      </c>
      <c r="N114" s="218">
        <f t="shared" si="119"/>
        <v>-1.3906488706909272E+35</v>
      </c>
      <c r="O114" s="168">
        <f t="shared" si="106"/>
        <v>1.2808608019521699E+37</v>
      </c>
      <c r="P114" s="169">
        <f t="shared" si="120"/>
        <v>5.7497595093275803E+38</v>
      </c>
      <c r="Q114" s="170">
        <f t="shared" si="158"/>
        <v>8.2139421561822574E+34</v>
      </c>
      <c r="R114" s="156">
        <f t="shared" si="124"/>
        <v>45</v>
      </c>
      <c r="S114" s="171">
        <f t="shared" si="125"/>
        <v>0.01</v>
      </c>
      <c r="T114" s="172">
        <f t="shared" si="126"/>
        <v>-31</v>
      </c>
      <c r="U114" s="173">
        <f t="shared" si="127"/>
        <v>-0.01</v>
      </c>
      <c r="V114" s="155"/>
      <c r="W114" s="174">
        <f t="shared" si="108"/>
        <v>1.3579686222296899E+38</v>
      </c>
      <c r="X114" s="175">
        <f t="shared" si="159"/>
        <v>7.1077281315572706E+38</v>
      </c>
      <c r="Y114" s="176">
        <f t="shared" si="110"/>
        <v>0.24</v>
      </c>
      <c r="Z114" s="176">
        <f t="shared" si="111"/>
        <v>1.9399551746138401E+34</v>
      </c>
      <c r="AA114" s="155"/>
      <c r="AB114" s="177">
        <f t="shared" si="112"/>
        <v>-7.1077281315572706E+38</v>
      </c>
      <c r="AC114" s="176">
        <f t="shared" si="113"/>
        <v>1.01538973307961E+35</v>
      </c>
      <c r="AD114" s="178">
        <f t="shared" si="114"/>
        <v>0</v>
      </c>
      <c r="AE114" s="178">
        <f t="shared" si="160"/>
        <v>0</v>
      </c>
      <c r="AF114" s="179">
        <v>98</v>
      </c>
    </row>
    <row r="115" spans="1:32" s="10" customFormat="1" ht="15" customHeight="1" x14ac:dyDescent="0.2">
      <c r="A115" s="162">
        <v>99</v>
      </c>
      <c r="B115" s="106">
        <f t="shared" si="161"/>
        <v>-1</v>
      </c>
      <c r="C115" s="163">
        <f t="shared" si="162"/>
        <v>-77</v>
      </c>
      <c r="D115" s="155"/>
      <c r="E115" s="106">
        <f t="shared" si="101"/>
        <v>1</v>
      </c>
      <c r="F115" s="164">
        <f t="shared" ref="F115:G115" si="164">F114+E115</f>
        <v>112</v>
      </c>
      <c r="G115" s="165">
        <f t="shared" si="164"/>
        <v>6224</v>
      </c>
      <c r="H115" s="155"/>
      <c r="I115" s="107">
        <f t="shared" si="103"/>
        <v>3.5</v>
      </c>
      <c r="J115" s="166">
        <f t="shared" si="157"/>
        <v>3.1917536069030801E+36</v>
      </c>
      <c r="K115" s="167">
        <f t="shared" si="123"/>
        <v>4.4726144088552457E+36</v>
      </c>
      <c r="L115" s="155"/>
      <c r="M115" s="168">
        <f t="shared" si="105"/>
        <v>-3.4439130948185398E+39</v>
      </c>
      <c r="N115" s="218">
        <f t="shared" si="119"/>
        <v>-4.9198758497407711E+35</v>
      </c>
      <c r="O115" s="168">
        <f t="shared" si="106"/>
        <v>4.4726144088552502E+37</v>
      </c>
      <c r="P115" s="169">
        <f t="shared" si="120"/>
        <v>2.0095400491191901E+39</v>
      </c>
      <c r="Q115" s="170">
        <f t="shared" si="158"/>
        <v>2.8707714987417001E+35</v>
      </c>
      <c r="R115" s="156">
        <f t="shared" si="124"/>
        <v>45</v>
      </c>
      <c r="S115" s="171">
        <f t="shared" si="125"/>
        <v>0.01</v>
      </c>
      <c r="T115" s="172">
        <f t="shared" si="126"/>
        <v>-32</v>
      </c>
      <c r="U115" s="173">
        <f t="shared" si="127"/>
        <v>-0.01</v>
      </c>
      <c r="V115" s="155"/>
      <c r="W115" s="174">
        <f t="shared" si="108"/>
        <v>4.7418657962683299E+38</v>
      </c>
      <c r="X115" s="175">
        <f t="shared" si="159"/>
        <v>2.4837266287460201E+39</v>
      </c>
      <c r="Y115" s="176">
        <f t="shared" si="110"/>
        <v>0.24</v>
      </c>
      <c r="Z115" s="176">
        <f t="shared" si="111"/>
        <v>6.7740939946690398E+34</v>
      </c>
      <c r="AA115" s="155"/>
      <c r="AB115" s="177">
        <f t="shared" si="112"/>
        <v>-2.4837266287460201E+39</v>
      </c>
      <c r="AC115" s="176">
        <f t="shared" si="113"/>
        <v>3.5481808982086002E+35</v>
      </c>
      <c r="AD115" s="178">
        <f t="shared" si="114"/>
        <v>0</v>
      </c>
      <c r="AE115" s="178">
        <f t="shared" si="160"/>
        <v>0</v>
      </c>
      <c r="AF115" s="179">
        <v>99</v>
      </c>
    </row>
    <row r="116" spans="1:32" s="10" customFormat="1" ht="15" customHeight="1" thickBot="1" x14ac:dyDescent="0.25">
      <c r="A116" s="199">
        <v>100</v>
      </c>
      <c r="B116" s="146">
        <f t="shared" si="161"/>
        <v>-1</v>
      </c>
      <c r="C116" s="200">
        <f t="shared" si="162"/>
        <v>-78</v>
      </c>
      <c r="D116" s="201"/>
      <c r="E116" s="146">
        <f t="shared" si="101"/>
        <v>1</v>
      </c>
      <c r="F116" s="200">
        <f t="shared" ref="F116:G116" si="165">F115+E116</f>
        <v>113</v>
      </c>
      <c r="G116" s="200">
        <f t="shared" si="165"/>
        <v>6337</v>
      </c>
      <c r="H116" s="201"/>
      <c r="I116" s="147">
        <f t="shared" si="103"/>
        <v>3.52</v>
      </c>
      <c r="J116" s="202">
        <f t="shared" si="157"/>
        <v>1.12349726962988E+37</v>
      </c>
      <c r="K116" s="202">
        <f t="shared" si="123"/>
        <v>1.5707587105154047E+37</v>
      </c>
      <c r="L116" s="203"/>
      <c r="M116" s="204">
        <f t="shared" si="105"/>
        <v>-1.2251917942020099E+40</v>
      </c>
      <c r="N116" s="220">
        <f t="shared" si="119"/>
        <v>-1.7502739917171572E+36</v>
      </c>
      <c r="O116" s="204">
        <f t="shared" si="106"/>
        <v>1.5707587105154001E+38</v>
      </c>
      <c r="P116" s="205">
        <f t="shared" si="120"/>
        <v>7.0635943311256198E+39</v>
      </c>
      <c r="Q116" s="206">
        <f t="shared" si="158"/>
        <v>1.0090849044465171E+36</v>
      </c>
      <c r="R116" s="207">
        <f t="shared" si="124"/>
        <v>45</v>
      </c>
      <c r="S116" s="208">
        <f t="shared" si="125"/>
        <v>0.01</v>
      </c>
      <c r="T116" s="209">
        <f t="shared" si="126"/>
        <v>-33</v>
      </c>
      <c r="U116" s="208">
        <f t="shared" si="127"/>
        <v>-0.01</v>
      </c>
      <c r="V116" s="210"/>
      <c r="W116" s="211">
        <f t="shared" si="108"/>
        <v>1.66531838488843E+39</v>
      </c>
      <c r="X116" s="212">
        <f t="shared" si="159"/>
        <v>8.7289127160140495E+39</v>
      </c>
      <c r="Y116" s="213">
        <f t="shared" si="110"/>
        <v>0.24</v>
      </c>
      <c r="Z116" s="213">
        <f t="shared" si="111"/>
        <v>2.3790262641263299E+35</v>
      </c>
      <c r="AA116" s="214"/>
      <c r="AB116" s="215">
        <f t="shared" si="112"/>
        <v>-8.7289127160140495E+39</v>
      </c>
      <c r="AC116" s="213">
        <f t="shared" si="113"/>
        <v>1.24698753085915E+36</v>
      </c>
      <c r="AD116" s="216">
        <f t="shared" si="114"/>
        <v>0</v>
      </c>
      <c r="AE116" s="216">
        <f t="shared" si="160"/>
        <v>0</v>
      </c>
      <c r="AF116" s="217">
        <v>100</v>
      </c>
    </row>
    <row r="117" spans="1:32" ht="15" customHeight="1" x14ac:dyDescent="0.2"/>
    <row r="118" spans="1:32" ht="15" customHeight="1" x14ac:dyDescent="0.2">
      <c r="AB118" s="55"/>
      <c r="AC118" s="55"/>
    </row>
    <row r="119" spans="1:32" ht="15" customHeight="1" thickBot="1" x14ac:dyDescent="0.25"/>
    <row r="120" spans="1:32" ht="39" customHeight="1" thickBot="1" x14ac:dyDescent="0.25">
      <c r="B120" s="144">
        <v>1</v>
      </c>
      <c r="F120" s="144">
        <v>2</v>
      </c>
      <c r="J120" s="144">
        <v>3</v>
      </c>
      <c r="Q120" s="144">
        <v>4</v>
      </c>
      <c r="X120" s="144">
        <v>5</v>
      </c>
      <c r="AD120" s="144">
        <v>6</v>
      </c>
    </row>
    <row r="121" spans="1:32" ht="12.75" customHeight="1" x14ac:dyDescent="0.2"/>
    <row r="122" spans="1:32" ht="12.75" customHeight="1" x14ac:dyDescent="0.2"/>
  </sheetData>
  <protectedRanges>
    <protectedRange sqref="C3:C5" name="Диапазон1_3_1"/>
    <protectedRange sqref="G3:G5" name="Диапазон1_1_1_1"/>
  </protectedRanges>
  <mergeCells count="10">
    <mergeCell ref="A1:K1"/>
    <mergeCell ref="M1:P1"/>
    <mergeCell ref="Q1:U1"/>
    <mergeCell ref="W1:AF1"/>
    <mergeCell ref="AH7:AH9"/>
    <mergeCell ref="M15:N15"/>
    <mergeCell ref="P15:Q15"/>
    <mergeCell ref="R15:S15"/>
    <mergeCell ref="T15:U15"/>
    <mergeCell ref="AD15:AE15"/>
  </mergeCells>
  <phoneticPr fontId="2" type="noConversion"/>
  <conditionalFormatting sqref="AB17:AB20 AB22:AB25 AB27:AB30 AB32:AB35 AB37:AB40 AB42:AB45 AB47:AB50 AB52:AB55 AB57:AB60 AB62:AB65 AB67:AB70 AB72:AB75 AB77:AB80 AB82:AB85 AB87:AB90 AB92:AB95 AB97:AB100 AB102:AB105 AB107:AB110 AB112:AB115">
    <cfRule type="cellIs" dxfId="103" priority="132" operator="lessThan">
      <formula>0</formula>
    </cfRule>
    <cfRule type="cellIs" dxfId="102" priority="133" operator="greaterThan">
      <formula>0</formula>
    </cfRule>
  </conditionalFormatting>
  <conditionalFormatting sqref="AB2">
    <cfRule type="colorScale" priority="98">
      <colorScale>
        <cfvo type="num" val="1"/>
        <cfvo type="num" val="3"/>
        <cfvo type="num" val="5"/>
        <color rgb="FFF8696B"/>
        <color rgb="FFFFEB84"/>
        <color rgb="FF63BE7B"/>
      </colorScale>
    </cfRule>
  </conditionalFormatting>
  <conditionalFormatting sqref="AB8">
    <cfRule type="colorScale" priority="97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AB3">
    <cfRule type="colorScale" priority="96">
      <colorScale>
        <cfvo type="num" val="0"/>
        <cfvo type="num" val="0.25"/>
        <cfvo type="num" val="0.5"/>
        <color rgb="FFF8696B"/>
        <color rgb="FFFFEB84"/>
        <color rgb="FF63BE7B"/>
      </colorScale>
    </cfRule>
  </conditionalFormatting>
  <conditionalFormatting sqref="AB4">
    <cfRule type="colorScale" priority="95">
      <colorScale>
        <cfvo type="num" val="0.3"/>
        <cfvo type="num" val="0.4"/>
        <cfvo type="num" val="0.5"/>
        <color rgb="FF63BE7B"/>
        <color rgb="FFFFEB84"/>
        <color rgb="FFF8696B"/>
      </colorScale>
    </cfRule>
  </conditionalFormatting>
  <conditionalFormatting sqref="AB5">
    <cfRule type="colorScale" priority="94">
      <colorScale>
        <cfvo type="num" val="0"/>
        <cfvo type="num" val="0.25"/>
        <cfvo type="num" val="0.5"/>
        <color rgb="FFF8696B"/>
        <color rgb="FFFFEB84"/>
        <color rgb="FF63BE7B"/>
      </colorScale>
    </cfRule>
  </conditionalFormatting>
  <conditionalFormatting sqref="AB6:AB7">
    <cfRule type="colorScale" priority="93">
      <colorScale>
        <cfvo type="num" val="0.2"/>
        <cfvo type="num" val="0.3"/>
        <cfvo type="num" val="0.4"/>
        <color rgb="FF63BE7B"/>
        <color rgb="FFFFEB84"/>
        <color rgb="FFF8696B"/>
      </colorScale>
    </cfRule>
  </conditionalFormatting>
  <conditionalFormatting sqref="AC13">
    <cfRule type="colorScale" priority="92">
      <colorScale>
        <cfvo type="num" val="0.2"/>
        <cfvo type="num" val="0.3"/>
        <cfvo type="num" val="0.4"/>
        <color rgb="FFF8696B"/>
        <color rgb="FFFFEB84"/>
        <color rgb="FF63BE7B"/>
      </colorScale>
    </cfRule>
  </conditionalFormatting>
  <conditionalFormatting sqref="P10">
    <cfRule type="colorScale" priority="91">
      <colorScale>
        <cfvo type="num" val="0"/>
        <cfvo type="num" val="5000"/>
        <cfvo type="num" val="10000"/>
        <color rgb="FFF8696B"/>
        <color rgb="FFFFEB84"/>
        <color rgb="FF63BE7B"/>
      </colorScale>
    </cfRule>
  </conditionalFormatting>
  <conditionalFormatting sqref="F16">
    <cfRule type="expression" dxfId="101" priority="90">
      <formula>F16&gt;0</formula>
    </cfRule>
  </conditionalFormatting>
  <conditionalFormatting sqref="I16">
    <cfRule type="expression" dxfId="100" priority="89">
      <formula>I16&gt;0</formula>
    </cfRule>
  </conditionalFormatting>
  <conditionalFormatting sqref="M16:N16">
    <cfRule type="expression" dxfId="99" priority="88">
      <formula>M16&gt;0</formula>
    </cfRule>
  </conditionalFormatting>
  <conditionalFormatting sqref="W16:Z16">
    <cfRule type="expression" dxfId="98" priority="86">
      <formula>W16&gt;0</formula>
    </cfRule>
  </conditionalFormatting>
  <conditionalFormatting sqref="G16">
    <cfRule type="expression" dxfId="97" priority="85">
      <formula>G16&gt;0</formula>
    </cfRule>
  </conditionalFormatting>
  <conditionalFormatting sqref="J16">
    <cfRule type="expression" dxfId="96" priority="84">
      <formula>J16&gt;0</formula>
    </cfRule>
  </conditionalFormatting>
  <conditionalFormatting sqref="K16">
    <cfRule type="expression" dxfId="95" priority="83">
      <formula>K16&gt;0</formula>
    </cfRule>
  </conditionalFormatting>
  <conditionalFormatting sqref="O16">
    <cfRule type="expression" dxfId="94" priority="81">
      <formula>O16&gt;0</formula>
    </cfRule>
  </conditionalFormatting>
  <conditionalFormatting sqref="AB21">
    <cfRule type="cellIs" dxfId="93" priority="79" operator="lessThan">
      <formula>0</formula>
    </cfRule>
    <cfRule type="cellIs" dxfId="92" priority="80" operator="greaterThan">
      <formula>0</formula>
    </cfRule>
  </conditionalFormatting>
  <conditionalFormatting sqref="AB21">
    <cfRule type="cellIs" dxfId="91" priority="77" operator="lessThan">
      <formula>0</formula>
    </cfRule>
    <cfRule type="cellIs" dxfId="90" priority="78" operator="greaterThan">
      <formula>0</formula>
    </cfRule>
  </conditionalFormatting>
  <conditionalFormatting sqref="AB26">
    <cfRule type="cellIs" dxfId="89" priority="75" operator="lessThan">
      <formula>0</formula>
    </cfRule>
    <cfRule type="cellIs" dxfId="88" priority="76" operator="greaterThan">
      <formula>0</formula>
    </cfRule>
  </conditionalFormatting>
  <conditionalFormatting sqref="AB26">
    <cfRule type="cellIs" dxfId="87" priority="73" operator="lessThan">
      <formula>0</formula>
    </cfRule>
    <cfRule type="cellIs" dxfId="86" priority="74" operator="greaterThan">
      <formula>0</formula>
    </cfRule>
  </conditionalFormatting>
  <conditionalFormatting sqref="AB31">
    <cfRule type="cellIs" dxfId="85" priority="71" operator="lessThan">
      <formula>0</formula>
    </cfRule>
    <cfRule type="cellIs" dxfId="84" priority="72" operator="greaterThan">
      <formula>0</formula>
    </cfRule>
  </conditionalFormatting>
  <conditionalFormatting sqref="AB31">
    <cfRule type="cellIs" dxfId="83" priority="69" operator="lessThan">
      <formula>0</formula>
    </cfRule>
    <cfRule type="cellIs" dxfId="82" priority="70" operator="greaterThan">
      <formula>0</formula>
    </cfRule>
  </conditionalFormatting>
  <conditionalFormatting sqref="AB36">
    <cfRule type="cellIs" dxfId="81" priority="67" operator="lessThan">
      <formula>0</formula>
    </cfRule>
    <cfRule type="cellIs" dxfId="80" priority="68" operator="greaterThan">
      <formula>0</formula>
    </cfRule>
  </conditionalFormatting>
  <conditionalFormatting sqref="AB36">
    <cfRule type="cellIs" dxfId="79" priority="65" operator="lessThan">
      <formula>0</formula>
    </cfRule>
    <cfRule type="cellIs" dxfId="78" priority="66" operator="greaterThan">
      <formula>0</formula>
    </cfRule>
  </conditionalFormatting>
  <conditionalFormatting sqref="AB41">
    <cfRule type="cellIs" dxfId="77" priority="63" operator="lessThan">
      <formula>0</formula>
    </cfRule>
    <cfRule type="cellIs" dxfId="76" priority="64" operator="greaterThan">
      <formula>0</formula>
    </cfRule>
  </conditionalFormatting>
  <conditionalFormatting sqref="AB41">
    <cfRule type="cellIs" dxfId="75" priority="61" operator="lessThan">
      <formula>0</formula>
    </cfRule>
    <cfRule type="cellIs" dxfId="74" priority="62" operator="greaterThan">
      <formula>0</formula>
    </cfRule>
  </conditionalFormatting>
  <conditionalFormatting sqref="AB46">
    <cfRule type="cellIs" dxfId="73" priority="59" operator="lessThan">
      <formula>0</formula>
    </cfRule>
    <cfRule type="cellIs" dxfId="72" priority="60" operator="greaterThan">
      <formula>0</formula>
    </cfRule>
  </conditionalFormatting>
  <conditionalFormatting sqref="AB46">
    <cfRule type="cellIs" dxfId="71" priority="57" operator="lessThan">
      <formula>0</formula>
    </cfRule>
    <cfRule type="cellIs" dxfId="70" priority="58" operator="greaterThan">
      <formula>0</formula>
    </cfRule>
  </conditionalFormatting>
  <conditionalFormatting sqref="AB51">
    <cfRule type="cellIs" dxfId="69" priority="55" operator="lessThan">
      <formula>0</formula>
    </cfRule>
    <cfRule type="cellIs" dxfId="68" priority="56" operator="greaterThan">
      <formula>0</formula>
    </cfRule>
  </conditionalFormatting>
  <conditionalFormatting sqref="AB51">
    <cfRule type="cellIs" dxfId="67" priority="53" operator="lessThan">
      <formula>0</formula>
    </cfRule>
    <cfRule type="cellIs" dxfId="66" priority="54" operator="greaterThan">
      <formula>0</formula>
    </cfRule>
  </conditionalFormatting>
  <conditionalFormatting sqref="AB56">
    <cfRule type="cellIs" dxfId="65" priority="51" operator="lessThan">
      <formula>0</formula>
    </cfRule>
    <cfRule type="cellIs" dxfId="64" priority="52" operator="greaterThan">
      <formula>0</formula>
    </cfRule>
  </conditionalFormatting>
  <conditionalFormatting sqref="AB56">
    <cfRule type="cellIs" dxfId="63" priority="49" operator="lessThan">
      <formula>0</formula>
    </cfRule>
    <cfRule type="cellIs" dxfId="62" priority="50" operator="greaterThan">
      <formula>0</formula>
    </cfRule>
  </conditionalFormatting>
  <conditionalFormatting sqref="AB61">
    <cfRule type="cellIs" dxfId="61" priority="47" operator="lessThan">
      <formula>0</formula>
    </cfRule>
    <cfRule type="cellIs" dxfId="60" priority="48" operator="greaterThan">
      <formula>0</formula>
    </cfRule>
  </conditionalFormatting>
  <conditionalFormatting sqref="AB61">
    <cfRule type="cellIs" dxfId="59" priority="45" operator="lessThan">
      <formula>0</formula>
    </cfRule>
    <cfRule type="cellIs" dxfId="58" priority="46" operator="greaterThan">
      <formula>0</formula>
    </cfRule>
  </conditionalFormatting>
  <conditionalFormatting sqref="AB66">
    <cfRule type="cellIs" dxfId="57" priority="43" operator="lessThan">
      <formula>0</formula>
    </cfRule>
    <cfRule type="cellIs" dxfId="56" priority="44" operator="greaterThan">
      <formula>0</formula>
    </cfRule>
  </conditionalFormatting>
  <conditionalFormatting sqref="AB66">
    <cfRule type="cellIs" dxfId="55" priority="41" operator="lessThan">
      <formula>0</formula>
    </cfRule>
    <cfRule type="cellIs" dxfId="54" priority="42" operator="greaterThan">
      <formula>0</formula>
    </cfRule>
  </conditionalFormatting>
  <conditionalFormatting sqref="AB71">
    <cfRule type="cellIs" dxfId="53" priority="39" operator="lessThan">
      <formula>0</formula>
    </cfRule>
    <cfRule type="cellIs" dxfId="52" priority="40" operator="greaterThan">
      <formula>0</formula>
    </cfRule>
  </conditionalFormatting>
  <conditionalFormatting sqref="AB71">
    <cfRule type="cellIs" dxfId="51" priority="37" operator="lessThan">
      <formula>0</formula>
    </cfRule>
    <cfRule type="cellIs" dxfId="50" priority="38" operator="greaterThan">
      <formula>0</formula>
    </cfRule>
  </conditionalFormatting>
  <conditionalFormatting sqref="AB76">
    <cfRule type="cellIs" dxfId="49" priority="35" operator="lessThan">
      <formula>0</formula>
    </cfRule>
    <cfRule type="cellIs" dxfId="48" priority="36" operator="greaterThan">
      <formula>0</formula>
    </cfRule>
  </conditionalFormatting>
  <conditionalFormatting sqref="AB76">
    <cfRule type="cellIs" dxfId="47" priority="33" operator="lessThan">
      <formula>0</formula>
    </cfRule>
    <cfRule type="cellIs" dxfId="46" priority="34" operator="greaterThan">
      <formula>0</formula>
    </cfRule>
  </conditionalFormatting>
  <conditionalFormatting sqref="AB81">
    <cfRule type="cellIs" dxfId="45" priority="31" operator="lessThan">
      <formula>0</formula>
    </cfRule>
    <cfRule type="cellIs" dxfId="44" priority="32" operator="greaterThan">
      <formula>0</formula>
    </cfRule>
  </conditionalFormatting>
  <conditionalFormatting sqref="AB81">
    <cfRule type="cellIs" dxfId="43" priority="29" operator="lessThan">
      <formula>0</formula>
    </cfRule>
    <cfRule type="cellIs" dxfId="42" priority="30" operator="greaterThan">
      <formula>0</formula>
    </cfRule>
  </conditionalFormatting>
  <conditionalFormatting sqref="AB86">
    <cfRule type="cellIs" dxfId="41" priority="27" operator="lessThan">
      <formula>0</formula>
    </cfRule>
    <cfRule type="cellIs" dxfId="40" priority="28" operator="greaterThan">
      <formula>0</formula>
    </cfRule>
  </conditionalFormatting>
  <conditionalFormatting sqref="AB86">
    <cfRule type="cellIs" dxfId="39" priority="25" operator="lessThan">
      <formula>0</formula>
    </cfRule>
    <cfRule type="cellIs" dxfId="38" priority="26" operator="greaterThan">
      <formula>0</formula>
    </cfRule>
  </conditionalFormatting>
  <conditionalFormatting sqref="AB91">
    <cfRule type="cellIs" dxfId="37" priority="23" operator="lessThan">
      <formula>0</formula>
    </cfRule>
    <cfRule type="cellIs" dxfId="36" priority="24" operator="greaterThan">
      <formula>0</formula>
    </cfRule>
  </conditionalFormatting>
  <conditionalFormatting sqref="AB91">
    <cfRule type="cellIs" dxfId="35" priority="21" operator="lessThan">
      <formula>0</formula>
    </cfRule>
    <cfRule type="cellIs" dxfId="34" priority="22" operator="greaterThan">
      <formula>0</formula>
    </cfRule>
  </conditionalFormatting>
  <conditionalFormatting sqref="AB96">
    <cfRule type="cellIs" dxfId="33" priority="19" operator="lessThan">
      <formula>0</formula>
    </cfRule>
    <cfRule type="cellIs" dxfId="32" priority="20" operator="greaterThan">
      <formula>0</formula>
    </cfRule>
  </conditionalFormatting>
  <conditionalFormatting sqref="AB96">
    <cfRule type="cellIs" dxfId="31" priority="17" operator="lessThan">
      <formula>0</formula>
    </cfRule>
    <cfRule type="cellIs" dxfId="30" priority="18" operator="greaterThan">
      <formula>0</formula>
    </cfRule>
  </conditionalFormatting>
  <conditionalFormatting sqref="AB101">
    <cfRule type="cellIs" dxfId="29" priority="15" operator="lessThan">
      <formula>0</formula>
    </cfRule>
    <cfRule type="cellIs" dxfId="28" priority="16" operator="greaterThan">
      <formula>0</formula>
    </cfRule>
  </conditionalFormatting>
  <conditionalFormatting sqref="AB101">
    <cfRule type="cellIs" dxfId="27" priority="13" operator="lessThan">
      <formula>0</formula>
    </cfRule>
    <cfRule type="cellIs" dxfId="26" priority="14" operator="greaterThan">
      <formula>0</formula>
    </cfRule>
  </conditionalFormatting>
  <conditionalFormatting sqref="AB106">
    <cfRule type="cellIs" dxfId="25" priority="11" operator="lessThan">
      <formula>0</formula>
    </cfRule>
    <cfRule type="cellIs" dxfId="24" priority="12" operator="greaterThan">
      <formula>0</formula>
    </cfRule>
  </conditionalFormatting>
  <conditionalFormatting sqref="AB106">
    <cfRule type="cellIs" dxfId="23" priority="9" operator="lessThan">
      <formula>0</formula>
    </cfRule>
    <cfRule type="cellIs" dxfId="22" priority="10" operator="greaterThan">
      <formula>0</formula>
    </cfRule>
  </conditionalFormatting>
  <conditionalFormatting sqref="AB111">
    <cfRule type="cellIs" dxfId="21" priority="7" operator="lessThan">
      <formula>0</formula>
    </cfRule>
    <cfRule type="cellIs" dxfId="20" priority="8" operator="greaterThan">
      <formula>0</formula>
    </cfRule>
  </conditionalFormatting>
  <conditionalFormatting sqref="AB111">
    <cfRule type="cellIs" dxfId="19" priority="5" operator="lessThan">
      <formula>0</formula>
    </cfRule>
    <cfRule type="cellIs" dxfId="18" priority="6" operator="greaterThan">
      <formula>0</formula>
    </cfRule>
  </conditionalFormatting>
  <conditionalFormatting sqref="AB116">
    <cfRule type="cellIs" dxfId="17" priority="3" operator="lessThan">
      <formula>0</formula>
    </cfRule>
    <cfRule type="cellIs" dxfId="16" priority="4" operator="greaterThan">
      <formula>0</formula>
    </cfRule>
  </conditionalFormatting>
  <conditionalFormatting sqref="AB116">
    <cfRule type="cellIs" dxfId="15" priority="1" operator="lessThan">
      <formula>0</formula>
    </cfRule>
    <cfRule type="cellIs" dxfId="14" priority="2" operator="greaterThan">
      <formula>0</formula>
    </cfRule>
  </conditionalFormatting>
  <dataValidations count="2">
    <dataValidation type="list" allowBlank="1" showInputMessage="1" showErrorMessage="1" sqref="K2">
      <formula1>"0,1"</formula1>
    </dataValidation>
    <dataValidation type="list" allowBlank="1" showInputMessage="1" showErrorMessage="1" sqref="P3">
      <formula1>"3,4,5"</formula1>
    </dataValidation>
  </dataValidations>
  <pageMargins left="0.2" right="0.12" top="0.4" bottom="0.34" header="0.3" footer="0.23"/>
  <pageSetup paperSize="9" orientation="landscape" horizontalDpi="200" verticalDpi="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51" r:id="rId4" name="Spinner 227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9525</xdr:rowOff>
                  </from>
                  <to>
                    <xdr:col>4</xdr:col>
                    <xdr:colOff>9525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5" name="Spinner 228">
              <controlPr defaultSize="0" autoPict="0">
                <anchor moveWithCells="1" sizeWithCells="1">
                  <from>
                    <xdr:col>3</xdr:col>
                    <xdr:colOff>0</xdr:colOff>
                    <xdr:row>9</xdr:row>
                    <xdr:rowOff>9525</xdr:rowOff>
                  </from>
                  <to>
                    <xdr:col>4</xdr:col>
                    <xdr:colOff>9525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6" name="Spinner 229">
              <controlPr defaultSize="0" autoPict="0">
                <anchor moveWithCells="1" sizeWithCells="1">
                  <from>
                    <xdr:col>3</xdr:col>
                    <xdr:colOff>0</xdr:colOff>
                    <xdr:row>2</xdr:row>
                    <xdr:rowOff>9525</xdr:rowOff>
                  </from>
                  <to>
                    <xdr:col>4</xdr:col>
                    <xdr:colOff>9525</xdr:colOff>
                    <xdr:row>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7" name="Spinner 230">
              <controlPr defaultSize="0" autoPict="0">
                <anchor moveWithCells="1" sizeWithCells="1">
                  <from>
                    <xdr:col>7</xdr:col>
                    <xdr:colOff>19050</xdr:colOff>
                    <xdr:row>2</xdr:row>
                    <xdr:rowOff>19050</xdr:rowOff>
                  </from>
                  <to>
                    <xdr:col>8</xdr:col>
                    <xdr:colOff>28575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8" name="Spinner 234">
              <controlPr defaultSize="0" autoPict="0">
                <anchor moveWithCells="1" sizeWithCells="1">
                  <from>
                    <xdr:col>11</xdr:col>
                    <xdr:colOff>9525</xdr:colOff>
                    <xdr:row>6</xdr:row>
                    <xdr:rowOff>9525</xdr:rowOff>
                  </from>
                  <to>
                    <xdr:col>12</xdr:col>
                    <xdr:colOff>9525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9" name="Spinner 235">
              <controlPr defaultSize="0" autoPict="0">
                <anchor moveWithCells="1" sizeWithCells="1">
                  <from>
                    <xdr:col>11</xdr:col>
                    <xdr:colOff>9525</xdr:colOff>
                    <xdr:row>9</xdr:row>
                    <xdr:rowOff>9525</xdr:rowOff>
                  </from>
                  <to>
                    <xdr:col>12</xdr:col>
                    <xdr:colOff>9525</xdr:colOff>
                    <xdr:row>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10" name="Spinner 237">
              <controlPr defaultSize="0" autoPict="0">
                <anchor moveWithCells="1" sizeWithCells="1">
                  <from>
                    <xdr:col>11</xdr:col>
                    <xdr:colOff>9525</xdr:colOff>
                    <xdr:row>12</xdr:row>
                    <xdr:rowOff>9525</xdr:rowOff>
                  </from>
                  <to>
                    <xdr:col>12</xdr:col>
                    <xdr:colOff>9525</xdr:colOff>
                    <xdr:row>12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11" name="Spinner 256">
              <controlPr defaultSize="0" autoPict="0">
                <anchor moveWithCells="1" sizeWithCells="1">
                  <from>
                    <xdr:col>12</xdr:col>
                    <xdr:colOff>609600</xdr:colOff>
                    <xdr:row>9</xdr:row>
                    <xdr:rowOff>0</xdr:rowOff>
                  </from>
                  <to>
                    <xdr:col>15</xdr:col>
                    <xdr:colOff>9525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12" name="Spinner 266">
              <controlPr defaultSize="0" autoPict="0">
                <anchor moveWithCells="1" sizeWithCells="1">
                  <from>
                    <xdr:col>11</xdr:col>
                    <xdr:colOff>9525</xdr:colOff>
                    <xdr:row>3</xdr:row>
                    <xdr:rowOff>200025</xdr:rowOff>
                  </from>
                  <to>
                    <xdr:col>12</xdr:col>
                    <xdr:colOff>9525</xdr:colOff>
                    <xdr:row>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13" name="Spinner 291">
              <controlPr defaultSize="0" autoPict="0">
                <anchor>
                  <from>
                    <xdr:col>7</xdr:col>
                    <xdr:colOff>19050</xdr:colOff>
                    <xdr:row>6</xdr:row>
                    <xdr:rowOff>19050</xdr:rowOff>
                  </from>
                  <to>
                    <xdr:col>8</xdr:col>
                    <xdr:colOff>28575</xdr:colOff>
                    <xdr:row>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14" name="Spinner 292">
              <controlPr defaultSize="0" autoPict="0">
                <anchor moveWithCells="1" sizeWithCells="1">
                  <from>
                    <xdr:col>7</xdr:col>
                    <xdr:colOff>19050</xdr:colOff>
                    <xdr:row>9</xdr:row>
                    <xdr:rowOff>19050</xdr:rowOff>
                  </from>
                  <to>
                    <xdr:col>8</xdr:col>
                    <xdr:colOff>28575</xdr:colOff>
                    <xdr:row>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15" name="Spinner 293">
              <controlPr defaultSize="0" autoPict="0">
                <anchor moveWithCells="1" sizeWithCells="1">
                  <from>
                    <xdr:col>7</xdr:col>
                    <xdr:colOff>19050</xdr:colOff>
                    <xdr:row>12</xdr:row>
                    <xdr:rowOff>0</xdr:rowOff>
                  </from>
                  <to>
                    <xdr:col>8</xdr:col>
                    <xdr:colOff>28575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16" name="Spinner 338">
              <controlPr defaultSize="0" autoPict="0">
                <anchor moveWithCells="1" sizeWithCells="1">
                  <from>
                    <xdr:col>3</xdr:col>
                    <xdr:colOff>0</xdr:colOff>
                    <xdr:row>12</xdr:row>
                    <xdr:rowOff>9525</xdr:rowOff>
                  </from>
                  <to>
                    <xdr:col>4</xdr:col>
                    <xdr:colOff>0</xdr:colOff>
                    <xdr:row>12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'Залоги и Цена пункта'!$B$10:$B$37</xm:f>
          </x14:formula1>
          <xm:sqref>P2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"/>
  <sheetViews>
    <sheetView zoomScaleNormal="100" zoomScaleSheetLayoutView="95" workbookViewId="0">
      <selection activeCell="U12" sqref="U12"/>
    </sheetView>
  </sheetViews>
  <sheetFormatPr defaultRowHeight="12.75" x14ac:dyDescent="0.2"/>
  <sheetData/>
  <phoneticPr fontId="2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0"/>
  <dimension ref="A1:E38"/>
  <sheetViews>
    <sheetView topLeftCell="A2" workbookViewId="0">
      <selection activeCell="J25" sqref="J25"/>
    </sheetView>
  </sheetViews>
  <sheetFormatPr defaultRowHeight="12.75" x14ac:dyDescent="0.2"/>
  <cols>
    <col min="1" max="1" width="10" customWidth="1"/>
    <col min="2" max="2" width="19.140625" customWidth="1"/>
    <col min="3" max="3" width="12.140625" customWidth="1"/>
    <col min="4" max="4" width="19.5703125" customWidth="1"/>
    <col min="5" max="5" width="10.42578125" customWidth="1"/>
  </cols>
  <sheetData>
    <row r="1" spans="1:5" ht="15.75" x14ac:dyDescent="0.25">
      <c r="A1" s="58" t="s">
        <v>121</v>
      </c>
      <c r="B1" s="18"/>
      <c r="C1" s="58"/>
      <c r="D1" s="58"/>
      <c r="E1" s="58"/>
    </row>
    <row r="2" spans="1:5" ht="15.75" x14ac:dyDescent="0.25">
      <c r="B2" s="18"/>
    </row>
    <row r="3" spans="1:5" x14ac:dyDescent="0.2">
      <c r="B3" s="20"/>
    </row>
    <row r="4" spans="1:5" x14ac:dyDescent="0.2">
      <c r="B4" s="20"/>
    </row>
    <row r="5" spans="1:5" x14ac:dyDescent="0.2">
      <c r="B5" s="20"/>
    </row>
    <row r="7" spans="1:5" ht="15.75" x14ac:dyDescent="0.25">
      <c r="B7" s="247">
        <v>42836</v>
      </c>
      <c r="C7" s="246" t="s">
        <v>200</v>
      </c>
      <c r="D7" s="19" t="s">
        <v>198</v>
      </c>
      <c r="E7" s="21" t="s">
        <v>199</v>
      </c>
    </row>
    <row r="9" spans="1:5" ht="16.5" thickBot="1" x14ac:dyDescent="0.25">
      <c r="A9" s="47" t="s">
        <v>42</v>
      </c>
      <c r="B9" s="48" t="s">
        <v>40</v>
      </c>
      <c r="C9" s="49" t="s">
        <v>30</v>
      </c>
      <c r="D9" s="50" t="s">
        <v>41</v>
      </c>
      <c r="E9" s="51" t="s">
        <v>92</v>
      </c>
    </row>
    <row r="10" spans="1:5" ht="14.25" x14ac:dyDescent="0.2">
      <c r="A10" s="234">
        <v>1</v>
      </c>
      <c r="B10" s="235" t="s">
        <v>56</v>
      </c>
      <c r="C10" s="236">
        <v>75.099999999999994</v>
      </c>
      <c r="D10" s="236">
        <v>7.4</v>
      </c>
      <c r="E10" s="237">
        <v>16</v>
      </c>
    </row>
    <row r="11" spans="1:5" ht="14.25" x14ac:dyDescent="0.2">
      <c r="A11" s="45">
        <f>A10+1</f>
        <v>2</v>
      </c>
      <c r="B11" s="43" t="s">
        <v>58</v>
      </c>
      <c r="C11" s="41">
        <v>151.13999999999999</v>
      </c>
      <c r="D11" s="41">
        <v>10</v>
      </c>
      <c r="E11" s="46">
        <v>8</v>
      </c>
    </row>
    <row r="12" spans="1:5" ht="14.25" x14ac:dyDescent="0.2">
      <c r="A12" s="45">
        <f t="shared" ref="A12:A37" si="0">A11+1</f>
        <v>3</v>
      </c>
      <c r="B12" s="43" t="s">
        <v>60</v>
      </c>
      <c r="C12" s="41">
        <v>151.13999999999999</v>
      </c>
      <c r="D12" s="41">
        <v>9.24</v>
      </c>
      <c r="E12" s="46">
        <v>6</v>
      </c>
    </row>
    <row r="13" spans="1:5" ht="14.25" x14ac:dyDescent="0.2">
      <c r="A13" s="45">
        <f t="shared" si="0"/>
        <v>4</v>
      </c>
      <c r="B13" s="43" t="s">
        <v>62</v>
      </c>
      <c r="C13" s="41">
        <v>151.13999999999999</v>
      </c>
      <c r="D13" s="41">
        <v>7.11</v>
      </c>
      <c r="E13" s="46">
        <v>10</v>
      </c>
    </row>
    <row r="14" spans="1:5" ht="14.25" x14ac:dyDescent="0.2">
      <c r="A14" s="226">
        <f>A13+1</f>
        <v>5</v>
      </c>
      <c r="B14" s="227" t="s">
        <v>64</v>
      </c>
      <c r="C14" s="244">
        <v>75.09</v>
      </c>
      <c r="D14" s="244">
        <v>10</v>
      </c>
      <c r="E14" s="229">
        <v>3</v>
      </c>
    </row>
    <row r="15" spans="1:5" ht="14.25" x14ac:dyDescent="0.2">
      <c r="A15" s="45">
        <f t="shared" si="0"/>
        <v>6</v>
      </c>
      <c r="B15" s="43" t="s">
        <v>69</v>
      </c>
      <c r="C15" s="42">
        <v>147.87</v>
      </c>
      <c r="D15" s="42">
        <v>10</v>
      </c>
      <c r="E15" s="46">
        <v>8</v>
      </c>
    </row>
    <row r="16" spans="1:5" ht="14.25" x14ac:dyDescent="0.2">
      <c r="A16" s="45">
        <f t="shared" si="0"/>
        <v>7</v>
      </c>
      <c r="B16" s="43" t="s">
        <v>71</v>
      </c>
      <c r="C16" s="42">
        <v>147.87</v>
      </c>
      <c r="D16" s="42">
        <v>9.24</v>
      </c>
      <c r="E16" s="46">
        <v>6</v>
      </c>
    </row>
    <row r="17" spans="1:5" ht="14.25" x14ac:dyDescent="0.2">
      <c r="A17" s="45">
        <f t="shared" si="0"/>
        <v>8</v>
      </c>
      <c r="B17" s="43" t="s">
        <v>73</v>
      </c>
      <c r="C17" s="42">
        <v>200.16</v>
      </c>
      <c r="D17" s="42">
        <v>9.24</v>
      </c>
      <c r="E17" s="46">
        <v>8</v>
      </c>
    </row>
    <row r="18" spans="1:5" ht="14.25" x14ac:dyDescent="0.2">
      <c r="A18" s="45">
        <f t="shared" si="0"/>
        <v>9</v>
      </c>
      <c r="B18" s="43" t="s">
        <v>75</v>
      </c>
      <c r="C18" s="42">
        <v>215.18</v>
      </c>
      <c r="D18" s="42">
        <v>7.56</v>
      </c>
      <c r="E18" s="46">
        <v>10</v>
      </c>
    </row>
    <row r="19" spans="1:5" ht="14.25" x14ac:dyDescent="0.2">
      <c r="A19" s="45">
        <f t="shared" si="0"/>
        <v>10</v>
      </c>
      <c r="B19" s="43" t="s">
        <v>77</v>
      </c>
      <c r="C19" s="42">
        <v>215.18</v>
      </c>
      <c r="D19" s="42">
        <v>7.39</v>
      </c>
      <c r="E19" s="46">
        <v>8</v>
      </c>
    </row>
    <row r="20" spans="1:5" ht="14.25" x14ac:dyDescent="0.2">
      <c r="A20" s="45">
        <f t="shared" si="0"/>
        <v>11</v>
      </c>
      <c r="B20" s="43" t="s">
        <v>79</v>
      </c>
      <c r="C20" s="42">
        <v>215.18</v>
      </c>
      <c r="D20" s="42">
        <v>10</v>
      </c>
      <c r="E20" s="46">
        <v>6</v>
      </c>
    </row>
    <row r="21" spans="1:5" ht="14.25" x14ac:dyDescent="0.2">
      <c r="A21" s="45">
        <f t="shared" si="0"/>
        <v>12</v>
      </c>
      <c r="B21" s="43" t="s">
        <v>82</v>
      </c>
      <c r="C21" s="42">
        <v>215.18</v>
      </c>
      <c r="D21" s="42">
        <v>9.24</v>
      </c>
      <c r="E21" s="46">
        <v>4</v>
      </c>
    </row>
    <row r="22" spans="1:5" ht="14.25" x14ac:dyDescent="0.2">
      <c r="A22" s="226">
        <f t="shared" si="0"/>
        <v>13</v>
      </c>
      <c r="B22" s="227" t="s">
        <v>80</v>
      </c>
      <c r="C22" s="228">
        <v>107.25</v>
      </c>
      <c r="D22" s="228">
        <v>12.81</v>
      </c>
      <c r="E22" s="229">
        <v>6</v>
      </c>
    </row>
    <row r="23" spans="1:5" ht="14.25" x14ac:dyDescent="0.2">
      <c r="A23" s="45">
        <f t="shared" si="0"/>
        <v>14</v>
      </c>
      <c r="B23" s="43" t="s">
        <v>84</v>
      </c>
      <c r="C23" s="42">
        <v>215.18</v>
      </c>
      <c r="D23" s="42">
        <v>7.11</v>
      </c>
      <c r="E23" s="46">
        <v>12</v>
      </c>
    </row>
    <row r="24" spans="1:5" ht="14.25" x14ac:dyDescent="0.2">
      <c r="A24" s="226">
        <f t="shared" si="0"/>
        <v>15</v>
      </c>
      <c r="B24" s="227" t="s">
        <v>86</v>
      </c>
      <c r="C24" s="228">
        <v>106.02</v>
      </c>
      <c r="D24" s="228">
        <v>10</v>
      </c>
      <c r="E24" s="229">
        <v>2</v>
      </c>
    </row>
    <row r="25" spans="1:5" ht="14.25" x14ac:dyDescent="0.2">
      <c r="A25" s="45">
        <f t="shared" si="0"/>
        <v>16</v>
      </c>
      <c r="B25" s="43" t="s">
        <v>88</v>
      </c>
      <c r="C25" s="42">
        <v>248.53</v>
      </c>
      <c r="D25" s="42">
        <v>7.56</v>
      </c>
      <c r="E25" s="46">
        <v>10</v>
      </c>
    </row>
    <row r="26" spans="1:5" ht="14.25" x14ac:dyDescent="0.2">
      <c r="A26" s="45">
        <f t="shared" si="0"/>
        <v>17</v>
      </c>
      <c r="B26" s="43" t="s">
        <v>90</v>
      </c>
      <c r="C26" s="42">
        <v>248.53</v>
      </c>
      <c r="D26" s="42">
        <v>7.39</v>
      </c>
      <c r="E26" s="46">
        <v>10</v>
      </c>
    </row>
    <row r="27" spans="1:5" ht="14.25" x14ac:dyDescent="0.2">
      <c r="A27" s="45">
        <f t="shared" si="0"/>
        <v>18</v>
      </c>
      <c r="B27" s="43" t="s">
        <v>91</v>
      </c>
      <c r="C27" s="42">
        <v>248.53</v>
      </c>
      <c r="D27" s="42">
        <v>10</v>
      </c>
      <c r="E27" s="46">
        <v>10</v>
      </c>
    </row>
    <row r="28" spans="1:5" ht="14.25" x14ac:dyDescent="0.2">
      <c r="A28" s="45">
        <f t="shared" si="0"/>
        <v>19</v>
      </c>
      <c r="B28" s="43" t="s">
        <v>54</v>
      </c>
      <c r="C28" s="42">
        <v>248.53</v>
      </c>
      <c r="D28" s="42">
        <v>9.24</v>
      </c>
      <c r="E28" s="46">
        <v>8</v>
      </c>
    </row>
    <row r="29" spans="1:5" ht="14.25" x14ac:dyDescent="0.2">
      <c r="A29" s="45">
        <f t="shared" si="0"/>
        <v>20</v>
      </c>
      <c r="B29" s="43" t="s">
        <v>55</v>
      </c>
      <c r="C29" s="42">
        <v>248.53</v>
      </c>
      <c r="D29" s="42">
        <v>7.11</v>
      </c>
      <c r="E29" s="46">
        <v>18</v>
      </c>
    </row>
    <row r="30" spans="1:5" ht="14.25" x14ac:dyDescent="0.2">
      <c r="A30" s="226">
        <f t="shared" si="0"/>
        <v>21</v>
      </c>
      <c r="B30" s="227" t="s">
        <v>57</v>
      </c>
      <c r="C30" s="228">
        <v>124.31</v>
      </c>
      <c r="D30" s="228">
        <v>10</v>
      </c>
      <c r="E30" s="229">
        <v>3</v>
      </c>
    </row>
    <row r="31" spans="1:5" ht="14.25" x14ac:dyDescent="0.2">
      <c r="A31" s="45">
        <f t="shared" si="0"/>
        <v>22</v>
      </c>
      <c r="B31" s="44" t="s">
        <v>93</v>
      </c>
      <c r="C31" s="22">
        <v>142.15</v>
      </c>
      <c r="D31" s="22">
        <v>7.39</v>
      </c>
      <c r="E31" s="46">
        <v>10</v>
      </c>
    </row>
    <row r="32" spans="1:5" ht="14.25" x14ac:dyDescent="0.2">
      <c r="A32" s="45">
        <f t="shared" si="0"/>
        <v>23</v>
      </c>
      <c r="B32" s="44" t="s">
        <v>94</v>
      </c>
      <c r="C32" s="22">
        <v>142.15</v>
      </c>
      <c r="D32" s="22">
        <v>10</v>
      </c>
      <c r="E32" s="46">
        <v>12</v>
      </c>
    </row>
    <row r="33" spans="1:5" ht="14.25" x14ac:dyDescent="0.2">
      <c r="A33" s="45">
        <f t="shared" si="0"/>
        <v>24</v>
      </c>
      <c r="B33" s="44" t="s">
        <v>59</v>
      </c>
      <c r="C33" s="22">
        <v>142.15</v>
      </c>
      <c r="D33" s="22">
        <v>9.24</v>
      </c>
      <c r="E33" s="46">
        <v>8</v>
      </c>
    </row>
    <row r="34" spans="1:5" ht="14.25" x14ac:dyDescent="0.2">
      <c r="A34" s="45">
        <f t="shared" si="0"/>
        <v>25</v>
      </c>
      <c r="B34" s="44" t="s">
        <v>61</v>
      </c>
      <c r="C34" s="22">
        <v>142.19999999999999</v>
      </c>
      <c r="D34" s="22">
        <v>10</v>
      </c>
      <c r="E34" s="46">
        <v>5</v>
      </c>
    </row>
    <row r="35" spans="1:5" ht="14.25" x14ac:dyDescent="0.2">
      <c r="A35" s="226">
        <f t="shared" si="0"/>
        <v>26</v>
      </c>
      <c r="B35" s="227" t="s">
        <v>65</v>
      </c>
      <c r="C35" s="228">
        <v>100</v>
      </c>
      <c r="D35" s="228">
        <v>7.51</v>
      </c>
      <c r="E35" s="229">
        <v>3</v>
      </c>
    </row>
    <row r="36" spans="1:5" ht="14.25" x14ac:dyDescent="0.2">
      <c r="A36" s="226">
        <f t="shared" si="0"/>
        <v>27</v>
      </c>
      <c r="B36" s="227" t="s">
        <v>67</v>
      </c>
      <c r="C36" s="228">
        <v>100</v>
      </c>
      <c r="D36" s="228">
        <v>9.93</v>
      </c>
      <c r="E36" s="229">
        <v>3</v>
      </c>
    </row>
    <row r="37" spans="1:5" ht="14.25" x14ac:dyDescent="0.2">
      <c r="A37" s="240">
        <f t="shared" si="0"/>
        <v>28</v>
      </c>
      <c r="B37" s="241" t="s">
        <v>78</v>
      </c>
      <c r="C37" s="242">
        <v>100</v>
      </c>
      <c r="D37" s="242">
        <v>9.0299999999999994</v>
      </c>
      <c r="E37" s="243">
        <v>2</v>
      </c>
    </row>
    <row r="38" spans="1:5" ht="14.25" x14ac:dyDescent="0.2">
      <c r="A38" s="231">
        <f>A37+1</f>
        <v>29</v>
      </c>
      <c r="B38" s="232" t="s">
        <v>81</v>
      </c>
      <c r="C38" s="233">
        <v>100</v>
      </c>
      <c r="D38" s="233">
        <v>1.1200000000000001</v>
      </c>
      <c r="E38" s="52">
        <v>100</v>
      </c>
    </row>
  </sheetData>
  <phoneticPr fontId="2" type="noConversion"/>
  <pageMargins left="0.59" right="0.45" top="0.3" bottom="0.27" header="0.23" footer="0.19"/>
  <pageSetup paperSize="9" orientation="portrait" horizontalDpi="200" verticalDpi="200" r:id="rId1"/>
  <headerFooter alignWithMargins="0"/>
  <ignoredErrors>
    <ignoredError sqref="A10" calculatedColumn="1"/>
  </ignoredErrors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/>
  <dimension ref="A1:Q22"/>
  <sheetViews>
    <sheetView workbookViewId="0">
      <selection activeCell="N21" sqref="N21"/>
    </sheetView>
  </sheetViews>
  <sheetFormatPr defaultRowHeight="12.75" x14ac:dyDescent="0.2"/>
  <cols>
    <col min="1" max="1" width="11.28515625" bestFit="1" customWidth="1"/>
    <col min="2" max="2" width="10.42578125" bestFit="1" customWidth="1"/>
    <col min="3" max="3" width="9.42578125" bestFit="1" customWidth="1"/>
    <col min="4" max="4" width="4.7109375" bestFit="1" customWidth="1"/>
    <col min="5" max="5" width="11.28515625" bestFit="1" customWidth="1"/>
    <col min="6" max="6" width="10.42578125" bestFit="1" customWidth="1"/>
    <col min="7" max="7" width="9.42578125" bestFit="1" customWidth="1"/>
    <col min="8" max="8" width="4.7109375" bestFit="1" customWidth="1"/>
  </cols>
  <sheetData>
    <row r="1" spans="1:17" x14ac:dyDescent="0.2">
      <c r="A1" t="s">
        <v>49</v>
      </c>
      <c r="B1" s="40" t="s">
        <v>50</v>
      </c>
      <c r="C1" s="40" t="s">
        <v>51</v>
      </c>
      <c r="D1" s="40" t="s">
        <v>52</v>
      </c>
      <c r="E1" t="s">
        <v>49</v>
      </c>
      <c r="F1" s="40" t="s">
        <v>50</v>
      </c>
      <c r="G1" s="40" t="s">
        <v>51</v>
      </c>
      <c r="H1" s="40" t="s">
        <v>52</v>
      </c>
      <c r="J1" s="58" t="s">
        <v>122</v>
      </c>
      <c r="K1" s="58"/>
      <c r="L1" s="58"/>
      <c r="M1" s="58"/>
      <c r="N1" s="58"/>
      <c r="O1" s="58"/>
      <c r="Q1" s="56" t="str">
        <f>HYPERLINK("http://ru.investing.com/tools/forex-volatility-calculator","investing.com")</f>
        <v>investing.com</v>
      </c>
    </row>
    <row r="2" spans="1:17" x14ac:dyDescent="0.2">
      <c r="A2" s="40" t="s">
        <v>53</v>
      </c>
      <c r="B2" s="222" t="s">
        <v>56</v>
      </c>
      <c r="C2" s="223">
        <v>71.5</v>
      </c>
      <c r="D2" s="223">
        <v>0.7</v>
      </c>
      <c r="E2" t="s">
        <v>53</v>
      </c>
      <c r="F2" t="s">
        <v>55</v>
      </c>
      <c r="G2" s="54" t="s">
        <v>159</v>
      </c>
      <c r="H2" s="54" t="s">
        <v>145</v>
      </c>
      <c r="J2" s="58" t="s">
        <v>134</v>
      </c>
      <c r="K2" s="58"/>
      <c r="L2" s="58"/>
      <c r="M2" s="58"/>
      <c r="N2" s="58"/>
      <c r="O2" s="58"/>
    </row>
    <row r="3" spans="1:17" x14ac:dyDescent="0.2">
      <c r="A3" s="40" t="s">
        <v>53</v>
      </c>
      <c r="B3" s="40" t="s">
        <v>58</v>
      </c>
      <c r="C3" s="53" t="s">
        <v>175</v>
      </c>
      <c r="D3" s="53" t="s">
        <v>176</v>
      </c>
      <c r="E3" t="s">
        <v>53</v>
      </c>
      <c r="F3" s="224" t="s">
        <v>57</v>
      </c>
      <c r="G3" s="225">
        <v>97.74</v>
      </c>
      <c r="H3" s="225">
        <v>0.79</v>
      </c>
    </row>
    <row r="4" spans="1:17" x14ac:dyDescent="0.2">
      <c r="A4" s="40" t="s">
        <v>53</v>
      </c>
      <c r="B4" s="40" t="s">
        <v>60</v>
      </c>
      <c r="C4" s="53" t="s">
        <v>177</v>
      </c>
      <c r="D4" s="53" t="s">
        <v>155</v>
      </c>
      <c r="E4" t="s">
        <v>53</v>
      </c>
      <c r="F4" t="s">
        <v>59</v>
      </c>
      <c r="G4" s="54" t="s">
        <v>160</v>
      </c>
      <c r="H4" s="54" t="s">
        <v>161</v>
      </c>
      <c r="J4" s="272" t="s">
        <v>232</v>
      </c>
      <c r="K4" s="272"/>
      <c r="L4" s="272"/>
      <c r="M4" s="272"/>
      <c r="N4" s="245"/>
      <c r="O4" s="245"/>
      <c r="P4" s="245"/>
    </row>
    <row r="5" spans="1:17" x14ac:dyDescent="0.2">
      <c r="A5" s="40" t="s">
        <v>53</v>
      </c>
      <c r="B5" s="40" t="s">
        <v>62</v>
      </c>
      <c r="C5" s="53" t="s">
        <v>178</v>
      </c>
      <c r="D5" s="53" t="s">
        <v>154</v>
      </c>
      <c r="E5" t="s">
        <v>53</v>
      </c>
      <c r="F5" t="s">
        <v>61</v>
      </c>
      <c r="G5" s="54" t="s">
        <v>162</v>
      </c>
      <c r="H5" s="54" t="s">
        <v>158</v>
      </c>
    </row>
    <row r="6" spans="1:17" x14ac:dyDescent="0.2">
      <c r="A6" s="40" t="s">
        <v>53</v>
      </c>
      <c r="B6" s="222" t="s">
        <v>64</v>
      </c>
      <c r="C6" s="223">
        <v>57.02</v>
      </c>
      <c r="D6" s="223">
        <v>0.76</v>
      </c>
      <c r="E6" t="s">
        <v>53</v>
      </c>
      <c r="F6" t="s">
        <v>63</v>
      </c>
      <c r="G6" s="54" t="s">
        <v>163</v>
      </c>
      <c r="H6" s="54" t="s">
        <v>164</v>
      </c>
    </row>
    <row r="7" spans="1:17" x14ac:dyDescent="0.2">
      <c r="A7" s="40" t="s">
        <v>53</v>
      </c>
      <c r="B7" s="40" t="s">
        <v>66</v>
      </c>
      <c r="C7" s="53" t="s">
        <v>179</v>
      </c>
      <c r="D7" s="53" t="s">
        <v>136</v>
      </c>
      <c r="E7" t="s">
        <v>53</v>
      </c>
      <c r="F7" s="224" t="s">
        <v>65</v>
      </c>
      <c r="G7" s="225">
        <v>78.06</v>
      </c>
      <c r="H7" s="225">
        <v>0.59</v>
      </c>
    </row>
    <row r="8" spans="1:17" x14ac:dyDescent="0.2">
      <c r="A8" s="40" t="s">
        <v>53</v>
      </c>
      <c r="B8" s="40" t="s">
        <v>68</v>
      </c>
      <c r="C8" s="53" t="s">
        <v>180</v>
      </c>
      <c r="D8" s="53" t="s">
        <v>181</v>
      </c>
      <c r="E8" t="s">
        <v>53</v>
      </c>
      <c r="F8" s="224" t="s">
        <v>67</v>
      </c>
      <c r="G8" s="225">
        <v>60.78</v>
      </c>
      <c r="H8" s="225">
        <v>0.6</v>
      </c>
    </row>
    <row r="9" spans="1:17" x14ac:dyDescent="0.2">
      <c r="A9" s="40" t="s">
        <v>53</v>
      </c>
      <c r="B9" s="40" t="s">
        <v>69</v>
      </c>
      <c r="C9" s="53" t="s">
        <v>182</v>
      </c>
      <c r="D9" s="53" t="s">
        <v>135</v>
      </c>
      <c r="E9" t="s">
        <v>53</v>
      </c>
      <c r="F9" t="s">
        <v>95</v>
      </c>
      <c r="G9" s="54" t="s">
        <v>165</v>
      </c>
      <c r="H9" s="54" t="s">
        <v>140</v>
      </c>
    </row>
    <row r="10" spans="1:17" x14ac:dyDescent="0.2">
      <c r="A10" s="40" t="s">
        <v>53</v>
      </c>
      <c r="B10" s="40" t="s">
        <v>71</v>
      </c>
      <c r="C10" s="53" t="s">
        <v>183</v>
      </c>
      <c r="D10" s="53" t="s">
        <v>156</v>
      </c>
      <c r="E10" t="s">
        <v>53</v>
      </c>
      <c r="F10" t="s">
        <v>70</v>
      </c>
      <c r="G10" s="54" t="s">
        <v>166</v>
      </c>
      <c r="H10" s="54" t="s">
        <v>141</v>
      </c>
    </row>
    <row r="11" spans="1:17" x14ac:dyDescent="0.2">
      <c r="A11" s="40" t="s">
        <v>53</v>
      </c>
      <c r="B11" s="40" t="s">
        <v>73</v>
      </c>
      <c r="C11" s="53" t="s">
        <v>184</v>
      </c>
      <c r="D11" s="53" t="s">
        <v>129</v>
      </c>
      <c r="E11" t="s">
        <v>53</v>
      </c>
      <c r="F11" t="s">
        <v>72</v>
      </c>
      <c r="G11" s="54" t="s">
        <v>167</v>
      </c>
      <c r="H11" s="54" t="s">
        <v>99</v>
      </c>
    </row>
    <row r="12" spans="1:17" x14ac:dyDescent="0.2">
      <c r="A12" s="40" t="s">
        <v>53</v>
      </c>
      <c r="B12" s="40" t="s">
        <v>75</v>
      </c>
      <c r="C12" s="53" t="s">
        <v>185</v>
      </c>
      <c r="D12" s="53" t="s">
        <v>157</v>
      </c>
      <c r="E12" t="s">
        <v>53</v>
      </c>
      <c r="F12" t="s">
        <v>74</v>
      </c>
      <c r="G12" s="54" t="s">
        <v>168</v>
      </c>
      <c r="H12" s="54" t="s">
        <v>146</v>
      </c>
    </row>
    <row r="13" spans="1:17" x14ac:dyDescent="0.2">
      <c r="A13" s="40" t="s">
        <v>53</v>
      </c>
      <c r="B13" s="40" t="s">
        <v>77</v>
      </c>
      <c r="C13" s="53" t="s">
        <v>186</v>
      </c>
      <c r="D13" s="53" t="s">
        <v>187</v>
      </c>
      <c r="E13" t="s">
        <v>53</v>
      </c>
      <c r="F13" t="s">
        <v>76</v>
      </c>
      <c r="G13" s="54" t="s">
        <v>169</v>
      </c>
      <c r="H13" s="54" t="s">
        <v>147</v>
      </c>
    </row>
    <row r="14" spans="1:17" x14ac:dyDescent="0.2">
      <c r="A14" s="40" t="s">
        <v>53</v>
      </c>
      <c r="B14" s="40" t="s">
        <v>79</v>
      </c>
      <c r="C14" s="53" t="s">
        <v>188</v>
      </c>
      <c r="D14" s="53" t="s">
        <v>130</v>
      </c>
      <c r="E14" t="s">
        <v>53</v>
      </c>
      <c r="F14" s="224" t="s">
        <v>78</v>
      </c>
      <c r="G14" s="225">
        <v>93.67</v>
      </c>
      <c r="H14" s="225">
        <v>0.01</v>
      </c>
    </row>
    <row r="15" spans="1:17" x14ac:dyDescent="0.2">
      <c r="A15" s="40" t="s">
        <v>53</v>
      </c>
      <c r="B15" s="222" t="s">
        <v>80</v>
      </c>
      <c r="C15" s="223">
        <v>63.8</v>
      </c>
      <c r="D15" s="223">
        <v>0.76</v>
      </c>
      <c r="E15" t="s">
        <v>53</v>
      </c>
      <c r="F15" t="s">
        <v>96</v>
      </c>
      <c r="G15" s="54" t="s">
        <v>170</v>
      </c>
      <c r="H15" s="54" t="s">
        <v>142</v>
      </c>
    </row>
    <row r="16" spans="1:17" x14ac:dyDescent="0.2">
      <c r="A16" s="40" t="s">
        <v>53</v>
      </c>
      <c r="B16" s="40" t="s">
        <v>82</v>
      </c>
      <c r="C16" s="53" t="s">
        <v>189</v>
      </c>
      <c r="D16" s="53" t="s">
        <v>133</v>
      </c>
      <c r="E16" t="s">
        <v>53</v>
      </c>
      <c r="F16" t="s">
        <v>97</v>
      </c>
      <c r="G16" s="54" t="s">
        <v>148</v>
      </c>
      <c r="H16" s="54" t="s">
        <v>149</v>
      </c>
    </row>
    <row r="17" spans="1:8" x14ac:dyDescent="0.2">
      <c r="A17" s="40" t="s">
        <v>53</v>
      </c>
      <c r="B17" s="40" t="s">
        <v>84</v>
      </c>
      <c r="C17" s="53" t="s">
        <v>190</v>
      </c>
      <c r="D17" s="53" t="s">
        <v>191</v>
      </c>
      <c r="E17" t="s">
        <v>53</v>
      </c>
      <c r="F17" s="224" t="s">
        <v>81</v>
      </c>
      <c r="G17" s="225">
        <v>788.47</v>
      </c>
      <c r="H17" s="225">
        <v>0.88</v>
      </c>
    </row>
    <row r="18" spans="1:8" x14ac:dyDescent="0.2">
      <c r="A18" s="40" t="s">
        <v>53</v>
      </c>
      <c r="B18" s="222" t="s">
        <v>86</v>
      </c>
      <c r="C18" s="223">
        <v>68.790000000000006</v>
      </c>
      <c r="D18" s="223">
        <v>0.65</v>
      </c>
      <c r="E18" t="s">
        <v>53</v>
      </c>
      <c r="F18" t="s">
        <v>83</v>
      </c>
      <c r="G18" s="54" t="s">
        <v>171</v>
      </c>
      <c r="H18" s="54" t="s">
        <v>130</v>
      </c>
    </row>
    <row r="19" spans="1:8" x14ac:dyDescent="0.2">
      <c r="A19" s="40" t="s">
        <v>53</v>
      </c>
      <c r="B19" s="40" t="s">
        <v>88</v>
      </c>
      <c r="C19" s="53" t="s">
        <v>192</v>
      </c>
      <c r="D19" s="53" t="s">
        <v>137</v>
      </c>
      <c r="E19" t="s">
        <v>53</v>
      </c>
      <c r="F19" t="s">
        <v>85</v>
      </c>
      <c r="G19" s="54" t="s">
        <v>172</v>
      </c>
      <c r="H19" s="54" t="s">
        <v>150</v>
      </c>
    </row>
    <row r="20" spans="1:8" x14ac:dyDescent="0.2">
      <c r="A20" s="40" t="s">
        <v>53</v>
      </c>
      <c r="B20" s="40" t="s">
        <v>90</v>
      </c>
      <c r="C20" s="53" t="s">
        <v>193</v>
      </c>
      <c r="D20" s="53" t="s">
        <v>139</v>
      </c>
      <c r="E20" t="s">
        <v>53</v>
      </c>
      <c r="F20" t="s">
        <v>98</v>
      </c>
      <c r="G20" s="54" t="s">
        <v>173</v>
      </c>
      <c r="H20" s="54" t="s">
        <v>174</v>
      </c>
    </row>
    <row r="21" spans="1:8" x14ac:dyDescent="0.2">
      <c r="A21" s="40" t="s">
        <v>53</v>
      </c>
      <c r="B21" s="40" t="s">
        <v>91</v>
      </c>
      <c r="C21" s="53" t="s">
        <v>194</v>
      </c>
      <c r="D21" s="53" t="s">
        <v>149</v>
      </c>
      <c r="E21" t="s">
        <v>53</v>
      </c>
      <c r="F21" t="s">
        <v>87</v>
      </c>
      <c r="G21" s="54" t="s">
        <v>151</v>
      </c>
      <c r="H21" s="54" t="s">
        <v>152</v>
      </c>
    </row>
    <row r="22" spans="1:8" x14ac:dyDescent="0.2">
      <c r="A22" s="40" t="s">
        <v>53</v>
      </c>
      <c r="B22" s="40" t="s">
        <v>54</v>
      </c>
      <c r="C22" s="53" t="s">
        <v>195</v>
      </c>
      <c r="D22" s="53" t="s">
        <v>196</v>
      </c>
      <c r="E22" t="s">
        <v>53</v>
      </c>
      <c r="F22" t="s">
        <v>89</v>
      </c>
      <c r="G22" s="54" t="s">
        <v>153</v>
      </c>
      <c r="H22" s="54" t="s">
        <v>138</v>
      </c>
    </row>
  </sheetData>
  <mergeCells count="1">
    <mergeCell ref="J4:M4"/>
  </mergeCells>
  <phoneticPr fontId="2" type="noConversion"/>
  <pageMargins left="0.75" right="0.75" top="1" bottom="1" header="0.5" footer="0.5"/>
  <headerFooter alignWithMargins="0"/>
  <tableParts count="2">
    <tablePart r:id="rId1"/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24"/>
  <sheetViews>
    <sheetView workbookViewId="0">
      <pane ySplit="1" topLeftCell="A3" activePane="bottomLeft" state="frozen"/>
      <selection pane="bottomLeft" activeCell="K17" sqref="K17"/>
    </sheetView>
  </sheetViews>
  <sheetFormatPr defaultRowHeight="12.75" x14ac:dyDescent="0.2"/>
  <cols>
    <col min="2" max="2" width="35.140625" customWidth="1"/>
    <col min="3" max="3" width="12.28515625" customWidth="1"/>
    <col min="4" max="5" width="11.5703125" customWidth="1"/>
    <col min="6" max="6" width="11.42578125" customWidth="1"/>
    <col min="7" max="7" width="11.7109375" customWidth="1"/>
    <col min="8" max="8" width="12.140625" customWidth="1"/>
  </cols>
  <sheetData>
    <row r="1" spans="2:14" ht="27.75" customHeight="1" thickBot="1" x14ac:dyDescent="0.25">
      <c r="B1" s="250"/>
      <c r="C1" s="249" t="s">
        <v>201</v>
      </c>
      <c r="D1" s="249" t="s">
        <v>202</v>
      </c>
      <c r="E1" s="249" t="s">
        <v>203</v>
      </c>
      <c r="F1" s="249" t="s">
        <v>204</v>
      </c>
      <c r="G1" s="249" t="s">
        <v>205</v>
      </c>
      <c r="H1" s="251" t="s">
        <v>206</v>
      </c>
    </row>
    <row r="2" spans="2:14" ht="16.5" customHeight="1" x14ac:dyDescent="0.2">
      <c r="B2" s="273" t="s">
        <v>207</v>
      </c>
      <c r="C2" s="274"/>
      <c r="D2" s="274"/>
      <c r="E2" s="274"/>
      <c r="F2" s="274"/>
      <c r="G2" s="274"/>
      <c r="H2" s="275"/>
    </row>
    <row r="3" spans="2:14" ht="18" customHeight="1" x14ac:dyDescent="0.2">
      <c r="B3" s="252" t="s">
        <v>208</v>
      </c>
      <c r="C3" s="254">
        <v>5</v>
      </c>
      <c r="D3" s="254">
        <v>5</v>
      </c>
      <c r="E3" s="254"/>
      <c r="F3" s="254">
        <v>6</v>
      </c>
      <c r="G3" s="254">
        <v>6</v>
      </c>
      <c r="H3" s="255">
        <v>5</v>
      </c>
    </row>
    <row r="4" spans="2:14" ht="17.25" customHeight="1" x14ac:dyDescent="0.2">
      <c r="B4" s="252" t="s">
        <v>209</v>
      </c>
      <c r="C4" s="254">
        <v>30</v>
      </c>
      <c r="D4" s="254">
        <v>30</v>
      </c>
      <c r="E4" s="254"/>
      <c r="F4" s="254">
        <v>45</v>
      </c>
      <c r="G4" s="254">
        <v>45</v>
      </c>
      <c r="H4" s="255">
        <v>30</v>
      </c>
    </row>
    <row r="5" spans="2:14" ht="17.25" customHeight="1" x14ac:dyDescent="0.2">
      <c r="B5" s="276" t="s">
        <v>210</v>
      </c>
      <c r="C5" s="277"/>
      <c r="D5" s="277"/>
      <c r="E5" s="277"/>
      <c r="F5" s="277"/>
      <c r="G5" s="277"/>
      <c r="H5" s="278"/>
    </row>
    <row r="6" spans="2:14" ht="18" customHeight="1" x14ac:dyDescent="0.2">
      <c r="B6" s="252" t="s">
        <v>211</v>
      </c>
      <c r="C6" s="254" t="s">
        <v>229</v>
      </c>
      <c r="D6" s="254" t="s">
        <v>229</v>
      </c>
      <c r="E6" s="254" t="s">
        <v>229</v>
      </c>
      <c r="F6" s="254" t="s">
        <v>229</v>
      </c>
      <c r="G6" s="254" t="s">
        <v>229</v>
      </c>
      <c r="H6" s="255" t="s">
        <v>229</v>
      </c>
    </row>
    <row r="7" spans="2:14" ht="17.25" customHeight="1" x14ac:dyDescent="0.2">
      <c r="B7" s="252" t="s">
        <v>212</v>
      </c>
      <c r="C7" s="254">
        <v>3</v>
      </c>
      <c r="D7" s="254">
        <v>3</v>
      </c>
      <c r="E7" s="254"/>
      <c r="F7" s="254">
        <v>3</v>
      </c>
      <c r="G7" s="254">
        <v>3</v>
      </c>
      <c r="H7" s="255">
        <v>3</v>
      </c>
    </row>
    <row r="8" spans="2:14" ht="17.25" customHeight="1" x14ac:dyDescent="0.2">
      <c r="B8" s="252" t="s">
        <v>213</v>
      </c>
      <c r="C8" s="254" t="s">
        <v>230</v>
      </c>
      <c r="D8" s="254" t="s">
        <v>230</v>
      </c>
      <c r="E8" s="254" t="s">
        <v>230</v>
      </c>
      <c r="F8" s="254" t="s">
        <v>230</v>
      </c>
      <c r="G8" s="254" t="s">
        <v>230</v>
      </c>
      <c r="H8" s="255" t="s">
        <v>230</v>
      </c>
    </row>
    <row r="9" spans="2:14" ht="16.5" customHeight="1" x14ac:dyDescent="0.2">
      <c r="B9" s="252" t="s">
        <v>214</v>
      </c>
      <c r="C9" s="254">
        <v>4</v>
      </c>
      <c r="D9" s="254">
        <v>0</v>
      </c>
      <c r="E9" s="254"/>
      <c r="F9" s="254">
        <v>4</v>
      </c>
      <c r="G9" s="254">
        <v>4</v>
      </c>
      <c r="H9" s="255">
        <v>4</v>
      </c>
    </row>
    <row r="10" spans="2:14" ht="18" customHeight="1" x14ac:dyDescent="0.2">
      <c r="B10" s="252" t="s">
        <v>215</v>
      </c>
      <c r="C10" s="254">
        <v>25</v>
      </c>
      <c r="D10" s="254">
        <v>20</v>
      </c>
      <c r="E10" s="254"/>
      <c r="F10" s="254">
        <v>15</v>
      </c>
      <c r="G10" s="254">
        <v>15</v>
      </c>
      <c r="H10" s="255">
        <v>20</v>
      </c>
    </row>
    <row r="11" spans="2:14" ht="17.25" customHeight="1" x14ac:dyDescent="0.2">
      <c r="B11" s="252" t="s">
        <v>216</v>
      </c>
      <c r="C11" s="254" t="s">
        <v>230</v>
      </c>
      <c r="D11" s="254" t="s">
        <v>230</v>
      </c>
      <c r="E11" s="254" t="s">
        <v>230</v>
      </c>
      <c r="F11" s="254" t="s">
        <v>230</v>
      </c>
      <c r="G11" s="254" t="s">
        <v>230</v>
      </c>
      <c r="H11" s="255" t="s">
        <v>230</v>
      </c>
    </row>
    <row r="12" spans="2:14" ht="18" customHeight="1" x14ac:dyDescent="0.2">
      <c r="B12" s="276" t="s">
        <v>217</v>
      </c>
      <c r="C12" s="277"/>
      <c r="D12" s="277"/>
      <c r="E12" s="277"/>
      <c r="F12" s="277"/>
      <c r="G12" s="277"/>
      <c r="H12" s="278"/>
    </row>
    <row r="13" spans="2:14" ht="18" customHeight="1" x14ac:dyDescent="0.2">
      <c r="B13" s="252" t="s">
        <v>218</v>
      </c>
      <c r="C13" s="254" t="s">
        <v>231</v>
      </c>
      <c r="D13" s="254" t="s">
        <v>231</v>
      </c>
      <c r="E13" s="254" t="s">
        <v>231</v>
      </c>
      <c r="F13" s="254" t="s">
        <v>231</v>
      </c>
      <c r="G13" s="254" t="s">
        <v>231</v>
      </c>
      <c r="H13" s="255" t="s">
        <v>231</v>
      </c>
      <c r="N13" s="248"/>
    </row>
    <row r="14" spans="2:14" ht="18" customHeight="1" x14ac:dyDescent="0.2">
      <c r="B14" s="252" t="s">
        <v>219</v>
      </c>
      <c r="C14" s="254">
        <v>3</v>
      </c>
      <c r="D14" s="254">
        <v>3</v>
      </c>
      <c r="E14" s="254"/>
      <c r="F14" s="254">
        <v>3</v>
      </c>
      <c r="G14" s="254">
        <v>3</v>
      </c>
      <c r="H14" s="254">
        <v>3</v>
      </c>
    </row>
    <row r="15" spans="2:14" ht="17.25" customHeight="1" x14ac:dyDescent="0.2">
      <c r="B15" s="252" t="s">
        <v>220</v>
      </c>
      <c r="C15" s="254">
        <v>4</v>
      </c>
      <c r="D15" s="254">
        <v>4</v>
      </c>
      <c r="E15" s="254"/>
      <c r="F15" s="254">
        <v>4</v>
      </c>
      <c r="G15" s="254">
        <v>4</v>
      </c>
      <c r="H15" s="254">
        <v>4</v>
      </c>
    </row>
    <row r="16" spans="2:14" ht="18" customHeight="1" x14ac:dyDescent="0.2">
      <c r="B16" s="252" t="s">
        <v>221</v>
      </c>
      <c r="C16" s="254">
        <v>10</v>
      </c>
      <c r="D16" s="254">
        <v>0</v>
      </c>
      <c r="E16" s="254"/>
      <c r="F16" s="254">
        <v>10</v>
      </c>
      <c r="G16" s="254">
        <v>10</v>
      </c>
      <c r="H16" s="254">
        <v>10</v>
      </c>
    </row>
    <row r="17" spans="2:8" ht="18" customHeight="1" x14ac:dyDescent="0.2">
      <c r="B17" s="252" t="s">
        <v>222</v>
      </c>
      <c r="C17" s="254">
        <v>0</v>
      </c>
      <c r="D17" s="254">
        <v>50</v>
      </c>
      <c r="E17" s="254"/>
      <c r="F17" s="254">
        <v>0</v>
      </c>
      <c r="G17" s="254">
        <v>0</v>
      </c>
      <c r="H17" s="254">
        <v>0</v>
      </c>
    </row>
    <row r="18" spans="2:8" ht="18.75" customHeight="1" x14ac:dyDescent="0.2">
      <c r="B18" s="252" t="s">
        <v>223</v>
      </c>
      <c r="C18" s="254">
        <v>0.5</v>
      </c>
      <c r="D18" s="254">
        <v>0.5</v>
      </c>
      <c r="E18" s="254">
        <v>0.5</v>
      </c>
      <c r="F18" s="254">
        <v>0.5</v>
      </c>
      <c r="G18" s="254">
        <v>0.5</v>
      </c>
      <c r="H18" s="254">
        <v>0.5</v>
      </c>
    </row>
    <row r="19" spans="2:8" ht="19.5" customHeight="1" x14ac:dyDescent="0.2">
      <c r="B19" s="252" t="s">
        <v>224</v>
      </c>
      <c r="C19" s="258">
        <v>2</v>
      </c>
      <c r="D19" s="258">
        <v>2</v>
      </c>
      <c r="E19" s="258">
        <v>2</v>
      </c>
      <c r="F19" s="258">
        <v>2</v>
      </c>
      <c r="G19" s="258">
        <v>2</v>
      </c>
      <c r="H19" s="258">
        <v>2</v>
      </c>
    </row>
    <row r="20" spans="2:8" ht="18" customHeight="1" x14ac:dyDescent="0.2">
      <c r="B20" s="276" t="s">
        <v>225</v>
      </c>
      <c r="C20" s="277"/>
      <c r="D20" s="277"/>
      <c r="E20" s="277"/>
      <c r="F20" s="277"/>
      <c r="G20" s="277"/>
      <c r="H20" s="278"/>
    </row>
    <row r="21" spans="2:8" ht="17.25" customHeight="1" x14ac:dyDescent="0.2">
      <c r="B21" s="252" t="s">
        <v>226</v>
      </c>
      <c r="C21" s="254" t="s">
        <v>229</v>
      </c>
      <c r="D21" s="254" t="s">
        <v>229</v>
      </c>
      <c r="E21" s="254" t="s">
        <v>229</v>
      </c>
      <c r="F21" s="254" t="s">
        <v>229</v>
      </c>
      <c r="G21" s="254" t="s">
        <v>229</v>
      </c>
      <c r="H21" s="255" t="s">
        <v>229</v>
      </c>
    </row>
    <row r="22" spans="2:8" ht="17.25" customHeight="1" x14ac:dyDescent="0.2">
      <c r="B22" s="252" t="s">
        <v>227</v>
      </c>
      <c r="C22" s="254">
        <v>8</v>
      </c>
      <c r="D22" s="254">
        <v>20</v>
      </c>
      <c r="E22" s="254"/>
      <c r="F22" s="254">
        <v>15</v>
      </c>
      <c r="G22" s="254">
        <v>15</v>
      </c>
      <c r="H22" s="255">
        <v>20</v>
      </c>
    </row>
    <row r="23" spans="2:8" ht="18" customHeight="1" thickBot="1" x14ac:dyDescent="0.25">
      <c r="B23" s="253" t="s">
        <v>228</v>
      </c>
      <c r="C23" s="256">
        <v>60</v>
      </c>
      <c r="D23" s="256">
        <v>60</v>
      </c>
      <c r="E23" s="256"/>
      <c r="F23" s="256">
        <v>60</v>
      </c>
      <c r="G23" s="256">
        <v>60</v>
      </c>
      <c r="H23" s="257">
        <v>60</v>
      </c>
    </row>
    <row r="24" spans="2:8" ht="18.75" customHeight="1" x14ac:dyDescent="0.2"/>
  </sheetData>
  <mergeCells count="4">
    <mergeCell ref="B2:H2"/>
    <mergeCell ref="B5:H5"/>
    <mergeCell ref="B12:H12"/>
    <mergeCell ref="B20:H20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02A5A0F-7279-48A7-BF49-A62B004E2AF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Сводная таблица</vt:lpstr>
      <vt:lpstr>График</vt:lpstr>
      <vt:lpstr>Залоги и Цена пункта</vt:lpstr>
      <vt:lpstr>Волатильность</vt:lpstr>
      <vt:lpstr>Доп. настр.</vt:lpstr>
    </vt:vector>
  </TitlesOfParts>
  <Company>RePack by SPecialiST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Алексей</cp:lastModifiedBy>
  <cp:lastPrinted>2016-09-13T02:40:01Z</cp:lastPrinted>
  <dcterms:created xsi:type="dcterms:W3CDTF">2016-02-20T10:06:05Z</dcterms:created>
  <dcterms:modified xsi:type="dcterms:W3CDTF">2017-04-27T16:13:56Z</dcterms:modified>
</cp:coreProperties>
</file>