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9875" windowHeight="8985" activeTab="2"/>
  </bookViews>
  <sheets>
    <sheet name="MT4 SETTING" sheetId="1" r:id="rId1"/>
    <sheet name="GROUP" sheetId="4" r:id="rId2"/>
    <sheet name="SCANNER" sheetId="5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2" hidden="1">SCANNER!$B$4:$D$17</definedName>
  </definedNames>
  <calcPr calcId="144525"/>
</workbook>
</file>

<file path=xl/calcChain.xml><?xml version="1.0" encoding="utf-8"?>
<calcChain xmlns="http://schemas.openxmlformats.org/spreadsheetml/2006/main">
  <c r="R30" i="4" l="1"/>
  <c r="Q30" i="4"/>
  <c r="P30" i="4"/>
  <c r="O30" i="4"/>
  <c r="R29" i="4"/>
  <c r="Q29" i="4"/>
  <c r="P29" i="4"/>
  <c r="O29" i="4"/>
  <c r="R28" i="4"/>
  <c r="Q28" i="4"/>
  <c r="P28" i="4"/>
  <c r="O28" i="4"/>
  <c r="R27" i="4"/>
  <c r="Q27" i="4"/>
  <c r="P27" i="4"/>
  <c r="O27" i="4"/>
  <c r="R26" i="4"/>
  <c r="Q26" i="4"/>
  <c r="P26" i="4"/>
  <c r="O26" i="4"/>
  <c r="R25" i="4"/>
  <c r="Q25" i="4"/>
  <c r="P25" i="4"/>
  <c r="O25" i="4"/>
  <c r="R24" i="4"/>
  <c r="Q24" i="4"/>
  <c r="P24" i="4"/>
  <c r="O24" i="4"/>
  <c r="X30" i="4" l="1"/>
  <c r="W29" i="4"/>
  <c r="S30" i="4"/>
  <c r="W30" i="4"/>
  <c r="U30" i="4"/>
  <c r="V30" i="4" s="1"/>
  <c r="T30" i="4"/>
  <c r="X27" i="4"/>
  <c r="X26" i="4"/>
  <c r="X29" i="4"/>
  <c r="S29" i="4"/>
  <c r="U29" i="4" s="1"/>
  <c r="V29" i="4" s="1"/>
  <c r="T29" i="4"/>
  <c r="W28" i="4"/>
  <c r="X28" i="4"/>
  <c r="S28" i="4"/>
  <c r="W27" i="4"/>
  <c r="T28" i="4"/>
  <c r="S27" i="4"/>
  <c r="T27" i="4"/>
  <c r="X25" i="4"/>
  <c r="W26" i="4"/>
  <c r="S26" i="4"/>
  <c r="U26" i="4" s="1"/>
  <c r="V26" i="4" s="1"/>
  <c r="T26" i="4"/>
  <c r="S25" i="4"/>
  <c r="U25" i="4" s="1"/>
  <c r="V25" i="4" s="1"/>
  <c r="W25" i="4"/>
  <c r="T25" i="4"/>
  <c r="W24" i="4"/>
  <c r="X24" i="4"/>
  <c r="S24" i="4"/>
  <c r="U24" i="4" s="1"/>
  <c r="V24" i="4" s="1"/>
  <c r="T24" i="4"/>
  <c r="S2" i="5"/>
  <c r="U28" i="4" l="1"/>
  <c r="V28" i="4" s="1"/>
  <c r="U27" i="4"/>
  <c r="V27" i="4" s="1"/>
  <c r="K20" i="5"/>
  <c r="M20" i="5"/>
  <c r="K21" i="5"/>
  <c r="M21" i="5"/>
  <c r="K22" i="5"/>
  <c r="M22" i="5"/>
  <c r="K23" i="5"/>
  <c r="M23" i="5"/>
  <c r="K24" i="5"/>
  <c r="M24" i="5"/>
  <c r="K25" i="5"/>
  <c r="M25" i="5"/>
  <c r="K26" i="5"/>
  <c r="M26" i="5"/>
  <c r="B20" i="5"/>
  <c r="H11" i="5"/>
  <c r="G11" i="5"/>
  <c r="Q11" i="5" s="1"/>
  <c r="F11" i="5"/>
  <c r="E11" i="5"/>
  <c r="H10" i="5"/>
  <c r="G10" i="5"/>
  <c r="F10" i="5"/>
  <c r="E10" i="5"/>
  <c r="H9" i="5"/>
  <c r="G9" i="5"/>
  <c r="Q9" i="5" s="1"/>
  <c r="F9" i="5"/>
  <c r="E9" i="5"/>
  <c r="H17" i="5"/>
  <c r="G17" i="5"/>
  <c r="Q17" i="5" s="1"/>
  <c r="F17" i="5"/>
  <c r="E17" i="5"/>
  <c r="H16" i="5"/>
  <c r="G16" i="5"/>
  <c r="Q16" i="5" s="1"/>
  <c r="F16" i="5"/>
  <c r="E16" i="5"/>
  <c r="H15" i="5"/>
  <c r="G15" i="5"/>
  <c r="Q15" i="5" s="1"/>
  <c r="F15" i="5"/>
  <c r="E15" i="5"/>
  <c r="H8" i="5"/>
  <c r="G8" i="5"/>
  <c r="Q8" i="5" s="1"/>
  <c r="F8" i="5"/>
  <c r="E8" i="5"/>
  <c r="H14" i="5"/>
  <c r="G14" i="5"/>
  <c r="Q14" i="5" s="1"/>
  <c r="F14" i="5"/>
  <c r="E14" i="5"/>
  <c r="H7" i="5"/>
  <c r="G7" i="5"/>
  <c r="Q7" i="5" s="1"/>
  <c r="F7" i="5"/>
  <c r="E7" i="5"/>
  <c r="H13" i="5"/>
  <c r="G13" i="5"/>
  <c r="Q13" i="5" s="1"/>
  <c r="F13" i="5"/>
  <c r="E13" i="5"/>
  <c r="H6" i="5"/>
  <c r="G6" i="5"/>
  <c r="Q6" i="5" s="1"/>
  <c r="F6" i="5"/>
  <c r="E6" i="5"/>
  <c r="H12" i="5"/>
  <c r="G12" i="5"/>
  <c r="Q12" i="5" s="1"/>
  <c r="F12" i="5"/>
  <c r="E12" i="5"/>
  <c r="H5" i="5"/>
  <c r="G5" i="5"/>
  <c r="Q5" i="5" s="1"/>
  <c r="F5" i="5"/>
  <c r="E5" i="5"/>
  <c r="Q10" i="5" l="1"/>
  <c r="P10" i="5"/>
  <c r="O17" i="5"/>
  <c r="P17" i="5"/>
  <c r="O16" i="5"/>
  <c r="P16" i="5"/>
  <c r="O15" i="5"/>
  <c r="P15" i="5"/>
  <c r="O14" i="5"/>
  <c r="P14" i="5"/>
  <c r="O13" i="5"/>
  <c r="P13" i="5"/>
  <c r="O12" i="5"/>
  <c r="P12" i="5"/>
  <c r="O11" i="5"/>
  <c r="P11" i="5"/>
  <c r="O10" i="5"/>
  <c r="O9" i="5"/>
  <c r="P9" i="5"/>
  <c r="O8" i="5"/>
  <c r="P8" i="5"/>
  <c r="O7" i="5"/>
  <c r="P7" i="5"/>
  <c r="O6" i="5"/>
  <c r="P6" i="5"/>
  <c r="O5" i="5"/>
  <c r="P5" i="5"/>
  <c r="M9" i="5"/>
  <c r="M17" i="5"/>
  <c r="L17" i="5"/>
  <c r="M10" i="5"/>
  <c r="M5" i="5"/>
  <c r="M12" i="5"/>
  <c r="L13" i="5"/>
  <c r="M7" i="5"/>
  <c r="L7" i="5"/>
  <c r="L11" i="5"/>
  <c r="M11" i="5"/>
  <c r="L6" i="5"/>
  <c r="L5" i="5"/>
  <c r="L12" i="5"/>
  <c r="I15" i="5"/>
  <c r="I16" i="5"/>
  <c r="I9" i="5"/>
  <c r="I10" i="5"/>
  <c r="I11" i="5"/>
  <c r="I5" i="5"/>
  <c r="I12" i="5"/>
  <c r="M14" i="5"/>
  <c r="L14" i="5"/>
  <c r="M8" i="5"/>
  <c r="L8" i="5"/>
  <c r="M15" i="5"/>
  <c r="L15" i="5"/>
  <c r="M16" i="5"/>
  <c r="L16" i="5"/>
  <c r="L9" i="5"/>
  <c r="L10" i="5"/>
  <c r="J5" i="5"/>
  <c r="J12" i="5"/>
  <c r="M6" i="5"/>
  <c r="J6" i="5"/>
  <c r="I6" i="5"/>
  <c r="M13" i="5"/>
  <c r="J13" i="5"/>
  <c r="J7" i="5"/>
  <c r="J14" i="5"/>
  <c r="J8" i="5"/>
  <c r="J15" i="5"/>
  <c r="J16" i="5"/>
  <c r="I17" i="5"/>
  <c r="J9" i="5"/>
  <c r="J11" i="5"/>
  <c r="I13" i="5"/>
  <c r="I7" i="5"/>
  <c r="I14" i="5"/>
  <c r="I8" i="5"/>
  <c r="J17" i="5"/>
  <c r="J10" i="5"/>
  <c r="K11" i="5" l="1"/>
  <c r="N11" i="5" s="1"/>
  <c r="C11" i="5" s="1"/>
  <c r="K10" i="5"/>
  <c r="N10" i="5" s="1"/>
  <c r="C10" i="5" s="1"/>
  <c r="K16" i="5"/>
  <c r="N16" i="5" s="1"/>
  <c r="C16" i="5" s="1"/>
  <c r="K12" i="5"/>
  <c r="K9" i="5"/>
  <c r="N9" i="5" s="1"/>
  <c r="C9" i="5" s="1"/>
  <c r="K15" i="5"/>
  <c r="N15" i="5" s="1"/>
  <c r="C15" i="5" s="1"/>
  <c r="K5" i="5"/>
  <c r="K14" i="5"/>
  <c r="K17" i="5"/>
  <c r="K6" i="5"/>
  <c r="K8" i="5"/>
  <c r="K7" i="5"/>
  <c r="K13" i="5"/>
  <c r="F29" i="4"/>
  <c r="E29" i="4"/>
  <c r="D29" i="4"/>
  <c r="C29" i="4"/>
  <c r="F28" i="4"/>
  <c r="E28" i="4"/>
  <c r="D28" i="4"/>
  <c r="C28" i="4"/>
  <c r="F27" i="4"/>
  <c r="E27" i="4"/>
  <c r="D27" i="4"/>
  <c r="C27" i="4"/>
  <c r="R20" i="4"/>
  <c r="Q20" i="4"/>
  <c r="P20" i="4"/>
  <c r="O20" i="4"/>
  <c r="F23" i="4"/>
  <c r="E23" i="4"/>
  <c r="D23" i="4"/>
  <c r="C23" i="4"/>
  <c r="F22" i="4"/>
  <c r="E22" i="4"/>
  <c r="D22" i="4"/>
  <c r="C22" i="4"/>
  <c r="R16" i="4"/>
  <c r="Q16" i="4"/>
  <c r="P16" i="4"/>
  <c r="O16" i="4"/>
  <c r="R15" i="4"/>
  <c r="Q15" i="4"/>
  <c r="P15" i="4"/>
  <c r="O15" i="4"/>
  <c r="R14" i="4"/>
  <c r="Q14" i="4"/>
  <c r="P14" i="4"/>
  <c r="O14" i="4"/>
  <c r="R13" i="4"/>
  <c r="Q13" i="4"/>
  <c r="P13" i="4"/>
  <c r="O13" i="4"/>
  <c r="F18" i="4"/>
  <c r="E18" i="4"/>
  <c r="D18" i="4"/>
  <c r="C18" i="4"/>
  <c r="F17" i="4"/>
  <c r="E17" i="4"/>
  <c r="D17" i="4"/>
  <c r="C17" i="4"/>
  <c r="F16" i="4"/>
  <c r="E16" i="4"/>
  <c r="D16" i="4"/>
  <c r="C16" i="4"/>
  <c r="F15" i="4"/>
  <c r="E15" i="4"/>
  <c r="D15" i="4"/>
  <c r="C15" i="4"/>
  <c r="F14" i="4"/>
  <c r="E14" i="4"/>
  <c r="D14" i="4"/>
  <c r="C14" i="4"/>
  <c r="R9" i="4"/>
  <c r="Q9" i="4"/>
  <c r="P9" i="4"/>
  <c r="O9" i="4"/>
  <c r="R8" i="4"/>
  <c r="Q8" i="4"/>
  <c r="P8" i="4"/>
  <c r="O8" i="4"/>
  <c r="R7" i="4"/>
  <c r="Q7" i="4"/>
  <c r="P7" i="4"/>
  <c r="O7" i="4"/>
  <c r="R6" i="4"/>
  <c r="Q6" i="4"/>
  <c r="P6" i="4"/>
  <c r="O6" i="4"/>
  <c r="R5" i="4"/>
  <c r="Q5" i="4"/>
  <c r="P5" i="4"/>
  <c r="O5" i="4"/>
  <c r="R4" i="4"/>
  <c r="Q4" i="4"/>
  <c r="P4" i="4"/>
  <c r="O4" i="4"/>
  <c r="F10" i="4"/>
  <c r="E10" i="4"/>
  <c r="D10" i="4"/>
  <c r="C10" i="4"/>
  <c r="F9" i="4"/>
  <c r="E9" i="4"/>
  <c r="D9" i="4"/>
  <c r="C9" i="4"/>
  <c r="F8" i="4"/>
  <c r="E8" i="4"/>
  <c r="D8" i="4"/>
  <c r="C8" i="4"/>
  <c r="F7" i="4"/>
  <c r="E7" i="4"/>
  <c r="D7" i="4"/>
  <c r="C7" i="4"/>
  <c r="F6" i="4"/>
  <c r="E6" i="4"/>
  <c r="D6" i="4"/>
  <c r="C6" i="4"/>
  <c r="F5" i="4"/>
  <c r="E5" i="4"/>
  <c r="D5" i="4"/>
  <c r="C5" i="4"/>
  <c r="F4" i="4"/>
  <c r="E4" i="4"/>
  <c r="D4" i="4"/>
  <c r="C4" i="4"/>
  <c r="N14" i="5" l="1"/>
  <c r="C14" i="5" s="1"/>
  <c r="N12" i="5"/>
  <c r="C12" i="5" s="1"/>
  <c r="N8" i="5"/>
  <c r="C8" i="5" s="1"/>
  <c r="N5" i="5"/>
  <c r="C5" i="5" s="1"/>
  <c r="N13" i="5"/>
  <c r="C13" i="5" s="1"/>
  <c r="N17" i="5"/>
  <c r="C17" i="5" s="1"/>
  <c r="N7" i="5"/>
  <c r="C7" i="5" s="1"/>
  <c r="N6" i="5"/>
  <c r="C6" i="5" s="1"/>
  <c r="L18" i="4"/>
  <c r="K18" i="4"/>
  <c r="L17" i="4"/>
  <c r="K17" i="4"/>
  <c r="L23" i="4"/>
  <c r="X15" i="4"/>
  <c r="W15" i="4"/>
  <c r="X16" i="4"/>
  <c r="K4" i="4"/>
  <c r="L16" i="4"/>
  <c r="K16" i="4"/>
  <c r="K5" i="4"/>
  <c r="K6" i="4"/>
  <c r="L7" i="4"/>
  <c r="L8" i="4"/>
  <c r="K8" i="4"/>
  <c r="L9" i="4"/>
  <c r="K9" i="4"/>
  <c r="L10" i="4"/>
  <c r="K10" i="4"/>
  <c r="X4" i="4"/>
  <c r="X6" i="4"/>
  <c r="W6" i="4"/>
  <c r="X7" i="4"/>
  <c r="W7" i="4"/>
  <c r="X9" i="4"/>
  <c r="W9" i="4"/>
  <c r="L14" i="4"/>
  <c r="K14" i="4"/>
  <c r="L15" i="4"/>
  <c r="K15" i="4"/>
  <c r="X14" i="4"/>
  <c r="W14" i="4"/>
  <c r="L22" i="4"/>
  <c r="W4" i="4"/>
  <c r="X5" i="4"/>
  <c r="W5" i="4"/>
  <c r="X8" i="4"/>
  <c r="W8" i="4"/>
  <c r="K29" i="4"/>
  <c r="X13" i="4"/>
  <c r="W13" i="4"/>
  <c r="L28" i="4"/>
  <c r="X20" i="4"/>
  <c r="L27" i="4"/>
  <c r="L29" i="4"/>
  <c r="S16" i="4"/>
  <c r="J23" i="5" s="1"/>
  <c r="G22" i="4"/>
  <c r="G24" i="5" s="1"/>
  <c r="G23" i="4"/>
  <c r="H24" i="5" s="1"/>
  <c r="S20" i="4"/>
  <c r="H25" i="5" s="1"/>
  <c r="G27" i="4"/>
  <c r="G27" i="5" s="1"/>
  <c r="G28" i="4"/>
  <c r="H27" i="5" s="1"/>
  <c r="G29" i="4"/>
  <c r="J27" i="5" s="1"/>
  <c r="W16" i="4"/>
  <c r="K22" i="4"/>
  <c r="K23" i="4"/>
  <c r="W20" i="4"/>
  <c r="K27" i="4"/>
  <c r="K28" i="4"/>
  <c r="L5" i="4"/>
  <c r="H5" i="4"/>
  <c r="G5" i="4"/>
  <c r="K7" i="4"/>
  <c r="G7" i="4"/>
  <c r="F20" i="5" s="1"/>
  <c r="L4" i="4"/>
  <c r="H4" i="4"/>
  <c r="G4" i="4"/>
  <c r="C20" i="5" s="1"/>
  <c r="L6" i="4"/>
  <c r="H6" i="4"/>
  <c r="G6" i="4"/>
  <c r="E20" i="5" s="1"/>
  <c r="G8" i="4"/>
  <c r="G20" i="5" s="1"/>
  <c r="G9" i="4"/>
  <c r="H20" i="5" s="1"/>
  <c r="G10" i="4"/>
  <c r="J20" i="5" s="1"/>
  <c r="S4" i="4"/>
  <c r="S5" i="4"/>
  <c r="E21" i="5" s="1"/>
  <c r="S6" i="4"/>
  <c r="F21" i="5" s="1"/>
  <c r="S7" i="4"/>
  <c r="G21" i="5" s="1"/>
  <c r="S8" i="4"/>
  <c r="H21" i="5" s="1"/>
  <c r="S9" i="4"/>
  <c r="J21" i="5" s="1"/>
  <c r="G14" i="4"/>
  <c r="E22" i="5" s="1"/>
  <c r="G15" i="4"/>
  <c r="F22" i="5" s="1"/>
  <c r="G16" i="4"/>
  <c r="G22" i="5" s="1"/>
  <c r="G17" i="4"/>
  <c r="H22" i="5" s="1"/>
  <c r="G18" i="4"/>
  <c r="J22" i="5" s="1"/>
  <c r="S13" i="4"/>
  <c r="F23" i="5" s="1"/>
  <c r="S14" i="4"/>
  <c r="G23" i="5" s="1"/>
  <c r="S15" i="4"/>
  <c r="H23" i="5" s="1"/>
  <c r="H7" i="4"/>
  <c r="H8" i="4"/>
  <c r="H9" i="4"/>
  <c r="H10" i="4"/>
  <c r="T4" i="4"/>
  <c r="T5" i="4"/>
  <c r="T6" i="4"/>
  <c r="T7" i="4"/>
  <c r="T8" i="4"/>
  <c r="T9" i="4"/>
  <c r="H14" i="4"/>
  <c r="H15" i="4"/>
  <c r="H16" i="4"/>
  <c r="H17" i="4"/>
  <c r="H18" i="4"/>
  <c r="T13" i="4"/>
  <c r="T14" i="4"/>
  <c r="T15" i="4"/>
  <c r="T16" i="4"/>
  <c r="H22" i="4"/>
  <c r="H23" i="4"/>
  <c r="T20" i="4"/>
  <c r="H27" i="4"/>
  <c r="H28" i="4"/>
  <c r="H29" i="4"/>
  <c r="U16" i="4" l="1"/>
  <c r="F26" i="5" s="1"/>
  <c r="I27" i="4"/>
  <c r="J24" i="5" s="1"/>
  <c r="I22" i="4"/>
  <c r="G25" i="5" s="1"/>
  <c r="U20" i="4"/>
  <c r="H26" i="5" s="1"/>
  <c r="I23" i="4"/>
  <c r="G26" i="5" s="1"/>
  <c r="D20" i="5"/>
  <c r="Q20" i="5"/>
  <c r="D21" i="5"/>
  <c r="I28" i="4"/>
  <c r="J25" i="5" s="1"/>
  <c r="I29" i="4"/>
  <c r="U15" i="4"/>
  <c r="F27" i="5" s="1"/>
  <c r="U13" i="4"/>
  <c r="F24" i="5" s="1"/>
  <c r="I17" i="4"/>
  <c r="E27" i="5" s="1"/>
  <c r="I15" i="4"/>
  <c r="E24" i="5" s="1"/>
  <c r="U9" i="4"/>
  <c r="U7" i="4"/>
  <c r="D25" i="5" s="1"/>
  <c r="U5" i="4"/>
  <c r="D23" i="5" s="1"/>
  <c r="I10" i="4"/>
  <c r="I8" i="4"/>
  <c r="C25" i="5" s="1"/>
  <c r="I4" i="4"/>
  <c r="C21" i="5" s="1"/>
  <c r="U14" i="4"/>
  <c r="F25" i="5" s="1"/>
  <c r="I18" i="4"/>
  <c r="E26" i="5" s="1"/>
  <c r="I16" i="4"/>
  <c r="I14" i="4"/>
  <c r="E23" i="5" s="1"/>
  <c r="U8" i="4"/>
  <c r="D27" i="5" s="1"/>
  <c r="U6" i="4"/>
  <c r="D24" i="5" s="1"/>
  <c r="U4" i="4"/>
  <c r="D22" i="5" s="1"/>
  <c r="I9" i="4"/>
  <c r="I6" i="4"/>
  <c r="I7" i="4"/>
  <c r="I5" i="4"/>
  <c r="V16" i="4" l="1"/>
  <c r="N23" i="5" s="1"/>
  <c r="J22" i="4"/>
  <c r="J27" i="4"/>
  <c r="L24" i="5" s="1"/>
  <c r="C26" i="5"/>
  <c r="N27" i="5"/>
  <c r="L27" i="5"/>
  <c r="J23" i="4"/>
  <c r="N24" i="5" s="1"/>
  <c r="C27" i="5"/>
  <c r="Q27" i="5"/>
  <c r="V20" i="4"/>
  <c r="N25" i="5" s="1"/>
  <c r="Q21" i="5"/>
  <c r="C22" i="5"/>
  <c r="Q22" i="5"/>
  <c r="D26" i="5"/>
  <c r="Q26" i="5"/>
  <c r="C23" i="5"/>
  <c r="Q23" i="5"/>
  <c r="E25" i="5"/>
  <c r="Q25" i="5"/>
  <c r="C24" i="5"/>
  <c r="Q24" i="5"/>
  <c r="J29" i="4"/>
  <c r="J26" i="5"/>
  <c r="J28" i="4"/>
  <c r="L25" i="5" s="1"/>
  <c r="V15" i="4"/>
  <c r="L23" i="5" s="1"/>
  <c r="J17" i="4"/>
  <c r="L22" i="5" s="1"/>
  <c r="V8" i="4"/>
  <c r="L21" i="5" s="1"/>
  <c r="J18" i="4"/>
  <c r="N22" i="5" s="1"/>
  <c r="V9" i="4"/>
  <c r="N21" i="5" s="1"/>
  <c r="V14" i="4"/>
  <c r="J16" i="4"/>
  <c r="V7" i="4"/>
  <c r="V13" i="4"/>
  <c r="J15" i="4"/>
  <c r="V6" i="4"/>
  <c r="J14" i="4"/>
  <c r="V5" i="4"/>
  <c r="V4" i="4"/>
  <c r="J9" i="4"/>
  <c r="L20" i="5" s="1"/>
  <c r="J10" i="4"/>
  <c r="N20" i="5" s="1"/>
  <c r="J8" i="4"/>
  <c r="J7" i="4"/>
  <c r="J6" i="4"/>
  <c r="J5" i="4"/>
  <c r="J4" i="4"/>
  <c r="L26" i="5" l="1"/>
  <c r="N26" i="5"/>
</calcChain>
</file>

<file path=xl/sharedStrings.xml><?xml version="1.0" encoding="utf-8"?>
<sst xmlns="http://schemas.openxmlformats.org/spreadsheetml/2006/main" count="205" uniqueCount="76">
  <si>
    <t>Pair</t>
  </si>
  <si>
    <t>High</t>
  </si>
  <si>
    <t>Low</t>
  </si>
  <si>
    <t>Bid</t>
  </si>
  <si>
    <t>Ask</t>
  </si>
  <si>
    <t>Buyer</t>
  </si>
  <si>
    <t>Seller</t>
  </si>
  <si>
    <t>Spread</t>
  </si>
  <si>
    <t>Range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</si>
  <si>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</si>
  <si>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</si>
  <si>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</si>
  <si>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</si>
  <si>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</si>
  <si>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</si>
  <si>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</si>
  <si>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</si>
  <si>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</si>
  <si>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</si>
  <si>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</si>
  <si>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</si>
  <si>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</si>
  <si>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</si>
  <si>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</si>
  <si>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</si>
  <si>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</si>
  <si>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</si>
  <si>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</si>
  <si>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</si>
  <si>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</si>
  <si>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</si>
  <si>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</si>
  <si>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</si>
  <si>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</si>
  <si>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</si>
  <si>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</si>
  <si>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</si>
  <si>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Different</t>
  </si>
  <si>
    <t>STEP 1 : Tick pada Enable DDE server di MT4</t>
  </si>
  <si>
    <t>EUR</t>
  </si>
  <si>
    <t>GBP</t>
  </si>
  <si>
    <t>AUD</t>
  </si>
  <si>
    <t>NZD</t>
  </si>
  <si>
    <t>CAD</t>
  </si>
  <si>
    <t>CHF</t>
  </si>
  <si>
    <t>USD</t>
  </si>
  <si>
    <t>YEN</t>
  </si>
  <si>
    <t>T</t>
  </si>
  <si>
    <t>M</t>
  </si>
  <si>
    <t>U</t>
  </si>
  <si>
    <t>Y</t>
  </si>
  <si>
    <t>Current</t>
  </si>
  <si>
    <t>Daily</t>
  </si>
  <si>
    <t>Weekly</t>
  </si>
  <si>
    <t>Monthly</t>
  </si>
  <si>
    <t>TREND</t>
  </si>
  <si>
    <t>CURRENT DATA</t>
  </si>
  <si>
    <t>HEATMAP</t>
  </si>
  <si>
    <t>STEP 3 : Cara mengambil data close price</t>
  </si>
  <si>
    <t xml:space="preserve">STEP 2 : Right pada market watch dan </t>
  </si>
  <si>
    <t xml:space="preserve">              klik show all</t>
  </si>
  <si>
    <t>1 - Klik market watch &amp; pilih pair</t>
  </si>
  <si>
    <t>2 - Klik Data Window</t>
  </si>
  <si>
    <t>3 - Letak cursor di candle semalam @ last week @ last month</t>
  </si>
  <si>
    <t>4 - Ambil data close di Data Window &amp; taip di paparan meter</t>
  </si>
  <si>
    <t>B/S</t>
  </si>
  <si>
    <t>CURRENCY STRENGTH</t>
  </si>
  <si>
    <t>PREVIOUS CLOSE PRICE</t>
  </si>
  <si>
    <t>LITE SCANNER</t>
  </si>
  <si>
    <t>THIS IS A FREE SCANNER. USE AT YOUR OWN RISK.</t>
  </si>
  <si>
    <t>JPY</t>
  </si>
  <si>
    <t>STRONG BUYER</t>
  </si>
  <si>
    <t>STRONG SELLER</t>
  </si>
  <si>
    <t>EXCEED RANGE</t>
  </si>
  <si>
    <t>CURRENCY</t>
  </si>
  <si>
    <t xml:space="preserve">Indications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</si>
</sst>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0"/>
    <numFmt numFmtId="165" formatCode="0.000"/>
    <numFmt numFmtId="166" formatCode="0.00000"/>
    <numFmt numFmtId="167" formatCode="[$-F800]dddd\,\ mmmm\ dd\,\ yyyy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8"/>
      <name val="Tahoma"/>
      <family val="2"/>
    </font>
    <font>
      <b/>
      <sz val="9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5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9"/>
      <color theme="0" tint="-0.24997711111789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FF0000"/>
      <name val="Tahoma"/>
      <family val="2"/>
    </font>
    <font>
      <sz val="9"/>
      <color rgb="FFFF0000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color theme="1" tint="0.499984740745262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8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indexed="64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/>
      <top/>
      <bottom/>
      <diagonal/>
    </border>
    <border>
      <left style="thin">
        <color indexed="64"/>
      </left>
      <right/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24994659260841701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indexed="64"/>
      </left>
      <right/>
      <top/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indexed="64"/>
      </right>
      <top/>
      <bottom style="thin">
        <color theme="1" tint="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14996795556505021"/>
      </bottom>
      <diagonal/>
    </border>
    <border>
      <left style="thin">
        <color theme="1" tint="0.14996795556505021"/>
      </left>
      <right/>
      <top style="thin">
        <color theme="1" tint="0.14996795556505021"/>
      </top>
      <bottom style="thin">
        <color theme="1" tint="4.9989318521683403E-2"/>
      </bottom>
      <diagonal/>
    </border>
    <border>
      <left/>
      <right/>
      <top style="thin">
        <color theme="1" tint="0.14996795556505021"/>
      </top>
      <bottom style="thin">
        <color theme="1" tint="4.9989318521683403E-2"/>
      </bottom>
      <diagonal/>
    </border>
    <border>
      <left/>
      <right style="thin">
        <color theme="1" tint="0.14996795556505021"/>
      </right>
      <top style="thin">
        <color theme="1" tint="0.14996795556505021"/>
      </top>
      <bottom style="thin">
        <color theme="1" tint="4.9989318521683403E-2"/>
      </bottom>
      <diagonal/>
    </border>
    <border>
      <left style="thin">
        <color theme="1" tint="0.14996795556505021"/>
      </left>
      <right style="thin">
        <color theme="1" tint="0.14996795556505021"/>
      </right>
      <top/>
      <bottom style="thin">
        <color theme="1" tint="0.14996795556505021"/>
      </bottom>
      <diagonal/>
    </border>
    <border>
      <left style="thin">
        <color theme="1" tint="0.14993743705557422"/>
      </left>
      <right/>
      <top style="thin">
        <color theme="1" tint="0.14993743705557422"/>
      </top>
      <bottom style="thin">
        <color theme="1" tint="4.9989318521683403E-2"/>
      </bottom>
      <diagonal/>
    </border>
    <border>
      <left/>
      <right/>
      <top style="thin">
        <color theme="1" tint="0.1499374370555742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/>
      </top>
      <bottom style="thin">
        <color theme="1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/>
      </top>
      <bottom style="medium">
        <color theme="1" tint="0.14996795556505021"/>
      </bottom>
      <diagonal/>
    </border>
    <border>
      <left style="medium">
        <color theme="1" tint="0.14993743705557422"/>
      </left>
      <right/>
      <top style="medium">
        <color theme="1" tint="0.14993743705557422"/>
      </top>
      <bottom style="thin">
        <color theme="1" tint="4.9989318521683403E-2"/>
      </bottom>
      <diagonal/>
    </border>
    <border>
      <left/>
      <right/>
      <top style="medium">
        <color theme="1" tint="0.14993743705557422"/>
      </top>
      <bottom style="thin">
        <color theme="1" tint="4.9989318521683403E-2"/>
      </bottom>
      <diagonal/>
    </border>
    <border>
      <left/>
      <right style="medium">
        <color theme="1" tint="0.14993743705557422"/>
      </right>
      <top style="medium">
        <color theme="1" tint="0.14993743705557422"/>
      </top>
      <bottom style="thin">
        <color theme="1" tint="4.9989318521683403E-2"/>
      </bottom>
      <diagonal/>
    </border>
    <border>
      <left style="medium">
        <color theme="1" tint="0.14993743705557422"/>
      </left>
      <right/>
      <top/>
      <bottom style="thin">
        <color theme="1" tint="0.34998626667073579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 tint="4.9989318521683403E-2"/>
      </top>
      <bottom style="thin">
        <color theme="1"/>
      </bottom>
      <diagonal/>
    </border>
    <border>
      <left style="medium">
        <color theme="1" tint="0.14993743705557422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/>
      </top>
      <bottom style="thin">
        <color theme="1"/>
      </bottom>
      <diagonal/>
    </border>
    <border>
      <left style="medium">
        <color theme="1" tint="0.14993743705557422"/>
      </left>
      <right/>
      <top style="thin">
        <color theme="1" tint="0.34998626667073579"/>
      </top>
      <bottom style="medium">
        <color theme="1" tint="0.14996795556505021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/>
      </top>
      <bottom style="medium">
        <color theme="1" tint="0.1499679555650502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Fill="1"/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1" fillId="2" borderId="0" xfId="0" applyFont="1" applyFill="1"/>
    <xf numFmtId="164" fontId="4" fillId="4" borderId="2" xfId="0" applyNumberFormat="1" applyFont="1" applyFill="1" applyBorder="1" applyAlignment="1" applyProtection="1">
      <alignment horizontal="center" vertical="center"/>
    </xf>
    <xf numFmtId="9" fontId="2" fillId="4" borderId="2" xfId="0" applyNumberFormat="1" applyFont="1" applyFill="1" applyBorder="1" applyAlignment="1" applyProtection="1">
      <alignment horizontal="center" vertical="center"/>
    </xf>
    <xf numFmtId="9" fontId="5" fillId="4" borderId="2" xfId="0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1" fontId="2" fillId="4" borderId="3" xfId="0" applyNumberFormat="1" applyFont="1" applyFill="1" applyBorder="1" applyAlignment="1" applyProtection="1">
      <alignment horizontal="center" vertical="center"/>
    </xf>
    <xf numFmtId="2" fontId="4" fillId="4" borderId="2" xfId="0" applyNumberFormat="1" applyFont="1" applyFill="1" applyBorder="1" applyAlignment="1" applyProtection="1">
      <alignment horizontal="center" vertical="center"/>
    </xf>
    <xf numFmtId="0" fontId="6" fillId="2" borderId="0" xfId="0" applyFont="1" applyFill="1"/>
    <xf numFmtId="164" fontId="4" fillId="3" borderId="2" xfId="0" applyNumberFormat="1" applyFont="1" applyFill="1" applyBorder="1" applyAlignment="1" applyProtection="1">
      <alignment horizontal="center" vertical="center"/>
    </xf>
    <xf numFmtId="9" fontId="2" fillId="3" borderId="2" xfId="0" applyNumberFormat="1" applyFont="1" applyFill="1" applyBorder="1" applyAlignment="1" applyProtection="1">
      <alignment horizontal="center" vertical="center"/>
    </xf>
    <xf numFmtId="9" fontId="5" fillId="3" borderId="2" xfId="0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</xf>
    <xf numFmtId="2" fontId="4" fillId="3" borderId="2" xfId="0" applyNumberFormat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1" fillId="2" borderId="0" xfId="0" applyFont="1" applyFill="1" applyBorder="1"/>
    <xf numFmtId="9" fontId="9" fillId="2" borderId="3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43" fontId="11" fillId="2" borderId="10" xfId="1" applyFont="1" applyFill="1" applyBorder="1" applyAlignment="1">
      <alignment horizontal="center" vertical="center"/>
    </xf>
    <xf numFmtId="9" fontId="11" fillId="2" borderId="11" xfId="0" applyNumberFormat="1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" fontId="11" fillId="2" borderId="11" xfId="0" applyNumberFormat="1" applyFont="1" applyFill="1" applyBorder="1" applyAlignment="1" applyProtection="1">
      <alignment horizontal="center" vertical="center"/>
    </xf>
    <xf numFmtId="9" fontId="12" fillId="2" borderId="14" xfId="0" applyNumberFormat="1" applyFont="1" applyFill="1" applyBorder="1" applyAlignment="1" applyProtection="1">
      <alignment horizontal="center" vertical="center"/>
    </xf>
    <xf numFmtId="9" fontId="12" fillId="2" borderId="9" xfId="0" applyNumberFormat="1" applyFont="1" applyFill="1" applyBorder="1" applyAlignment="1" applyProtection="1">
      <alignment horizontal="center" vertical="center"/>
    </xf>
    <xf numFmtId="166" fontId="1" fillId="2" borderId="0" xfId="0" applyNumberFormat="1" applyFont="1" applyFill="1"/>
    <xf numFmtId="43" fontId="11" fillId="8" borderId="10" xfId="1" applyFont="1" applyFill="1" applyBorder="1" applyAlignment="1">
      <alignment horizontal="center" vertical="center"/>
    </xf>
    <xf numFmtId="9" fontId="11" fillId="8" borderId="11" xfId="0" applyNumberFormat="1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horizontal="center" vertical="center"/>
    </xf>
    <xf numFmtId="1" fontId="11" fillId="8" borderId="11" xfId="0" applyNumberFormat="1" applyFont="1" applyFill="1" applyBorder="1" applyAlignment="1" applyProtection="1">
      <alignment horizontal="center" vertical="center"/>
    </xf>
    <xf numFmtId="9" fontId="12" fillId="8" borderId="9" xfId="0" applyNumberFormat="1" applyFont="1" applyFill="1" applyBorder="1" applyAlignment="1" applyProtection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 applyProtection="1">
      <alignment vertical="center"/>
    </xf>
    <xf numFmtId="166" fontId="11" fillId="2" borderId="11" xfId="0" applyNumberFormat="1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vertical="center"/>
    </xf>
    <xf numFmtId="166" fontId="11" fillId="8" borderId="11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8" borderId="11" xfId="0" applyNumberFormat="1" applyFont="1" applyFill="1" applyBorder="1" applyAlignment="1" applyProtection="1">
      <alignment horizontal="center" vertical="center"/>
    </xf>
    <xf numFmtId="9" fontId="5" fillId="2" borderId="17" xfId="0" applyNumberFormat="1" applyFont="1" applyFill="1" applyBorder="1" applyAlignment="1">
      <alignment horizontal="center" vertical="center"/>
    </xf>
    <xf numFmtId="9" fontId="5" fillId="2" borderId="19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9" fontId="5" fillId="3" borderId="5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" fontId="12" fillId="2" borderId="14" xfId="0" applyNumberFormat="1" applyFont="1" applyFill="1" applyBorder="1" applyAlignment="1" applyProtection="1">
      <alignment horizontal="center" vertical="center"/>
    </xf>
    <xf numFmtId="1" fontId="12" fillId="2" borderId="13" xfId="0" applyNumberFormat="1" applyFont="1" applyFill="1" applyBorder="1" applyAlignment="1" applyProtection="1">
      <alignment horizontal="center" vertical="center"/>
    </xf>
    <xf numFmtId="1" fontId="12" fillId="8" borderId="9" xfId="0" applyNumberFormat="1" applyFont="1" applyFill="1" applyBorder="1" applyAlignment="1" applyProtection="1">
      <alignment horizontal="center" vertical="center"/>
    </xf>
    <xf numFmtId="1" fontId="12" fillId="8" borderId="12" xfId="0" applyNumberFormat="1" applyFont="1" applyFill="1" applyBorder="1" applyAlignment="1" applyProtection="1">
      <alignment horizontal="center" vertical="center"/>
    </xf>
    <xf numFmtId="1" fontId="12" fillId="2" borderId="20" xfId="0" applyNumberFormat="1" applyFont="1" applyFill="1" applyBorder="1" applyAlignment="1" applyProtection="1">
      <alignment horizontal="center" vertical="center"/>
    </xf>
    <xf numFmtId="1" fontId="12" fillId="2" borderId="9" xfId="0" applyNumberFormat="1" applyFont="1" applyFill="1" applyBorder="1" applyAlignment="1" applyProtection="1">
      <alignment horizontal="center" vertical="center"/>
    </xf>
    <xf numFmtId="1" fontId="12" fillId="2" borderId="12" xfId="0" applyNumberFormat="1" applyFont="1" applyFill="1" applyBorder="1" applyAlignment="1" applyProtection="1">
      <alignment horizontal="center" vertical="center"/>
    </xf>
    <xf numFmtId="166" fontId="15" fillId="2" borderId="14" xfId="0" applyNumberFormat="1" applyFont="1" applyFill="1" applyBorder="1" applyAlignment="1" applyProtection="1">
      <alignment horizontal="center" vertical="center"/>
      <protection locked="0"/>
    </xf>
    <xf numFmtId="166" fontId="15" fillId="8" borderId="9" xfId="0" applyNumberFormat="1" applyFont="1" applyFill="1" applyBorder="1" applyAlignment="1" applyProtection="1">
      <alignment horizontal="center" vertical="center"/>
      <protection locked="0"/>
    </xf>
    <xf numFmtId="166" fontId="15" fillId="2" borderId="9" xfId="0" applyNumberFormat="1" applyFont="1" applyFill="1" applyBorder="1" applyAlignment="1" applyProtection="1">
      <alignment horizontal="center" vertical="center"/>
      <protection locked="0"/>
    </xf>
    <xf numFmtId="165" fontId="15" fillId="2" borderId="9" xfId="0" applyNumberFormat="1" applyFont="1" applyFill="1" applyBorder="1" applyAlignment="1" applyProtection="1">
      <alignment horizontal="center" vertical="center"/>
      <protection locked="0"/>
    </xf>
    <xf numFmtId="165" fontId="15" fillId="8" borderId="9" xfId="0" applyNumberFormat="1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/>
    <xf numFmtId="9" fontId="13" fillId="2" borderId="22" xfId="0" applyNumberFormat="1" applyFont="1" applyFill="1" applyBorder="1" applyAlignment="1" applyProtection="1">
      <alignment horizontal="center" vertical="center"/>
    </xf>
    <xf numFmtId="9" fontId="13" fillId="2" borderId="23" xfId="0" applyNumberFormat="1" applyFont="1" applyFill="1" applyBorder="1" applyAlignment="1" applyProtection="1">
      <alignment horizontal="center" vertical="center"/>
    </xf>
    <xf numFmtId="9" fontId="13" fillId="8" borderId="21" xfId="0" applyNumberFormat="1" applyFont="1" applyFill="1" applyBorder="1" applyAlignment="1" applyProtection="1">
      <alignment horizontal="center" vertical="center"/>
    </xf>
    <xf numFmtId="9" fontId="13" fillId="2" borderId="21" xfId="0" applyNumberFormat="1" applyFont="1" applyFill="1" applyBorder="1" applyAlignment="1" applyProtection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9" fontId="5" fillId="2" borderId="26" xfId="0" applyNumberFormat="1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9" fontId="5" fillId="2" borderId="24" xfId="0" applyNumberFormat="1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9" fontId="17" fillId="2" borderId="33" xfId="0" applyNumberFormat="1" applyFont="1" applyFill="1" applyBorder="1" applyAlignment="1">
      <alignment horizontal="center" vertical="center"/>
    </xf>
    <xf numFmtId="9" fontId="17" fillId="2" borderId="34" xfId="0" applyNumberFormat="1" applyFont="1" applyFill="1" applyBorder="1" applyAlignment="1">
      <alignment horizontal="center" vertical="center"/>
    </xf>
    <xf numFmtId="9" fontId="17" fillId="2" borderId="35" xfId="0" applyNumberFormat="1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/>
    </xf>
    <xf numFmtId="9" fontId="17" fillId="2" borderId="40" xfId="0" applyNumberFormat="1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/>
    </xf>
    <xf numFmtId="9" fontId="17" fillId="2" borderId="42" xfId="0" applyNumberFormat="1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/>
    </xf>
    <xf numFmtId="9" fontId="17" fillId="2" borderId="44" xfId="0" applyNumberFormat="1" applyFont="1" applyFill="1" applyBorder="1" applyAlignment="1">
      <alignment horizontal="center" vertical="center"/>
    </xf>
    <xf numFmtId="0" fontId="16" fillId="2" borderId="0" xfId="0" applyFont="1" applyFill="1"/>
    <xf numFmtId="0" fontId="3" fillId="2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vertical="center"/>
    </xf>
    <xf numFmtId="0" fontId="4" fillId="4" borderId="1" xfId="0" applyFont="1" applyFill="1" applyBorder="1" applyAlignment="1" applyProtection="1">
      <alignment vertical="center"/>
    </xf>
    <xf numFmtId="0" fontId="19" fillId="7" borderId="4" xfId="0" applyFont="1" applyFill="1" applyBorder="1" applyAlignment="1">
      <alignment horizontal="center" vertical="center"/>
    </xf>
    <xf numFmtId="0" fontId="21" fillId="10" borderId="0" xfId="0" applyFont="1" applyFill="1" applyBorder="1" applyAlignment="1" applyProtection="1">
      <alignment vertical="center"/>
    </xf>
    <xf numFmtId="2" fontId="21" fillId="10" borderId="0" xfId="0" applyNumberFormat="1" applyFont="1" applyFill="1" applyBorder="1" applyAlignment="1" applyProtection="1">
      <alignment horizontal="center" vertical="center"/>
    </xf>
    <xf numFmtId="9" fontId="22" fillId="10" borderId="0" xfId="0" applyNumberFormat="1" applyFont="1" applyFill="1" applyBorder="1" applyAlignment="1" applyProtection="1">
      <alignment horizontal="center" vertical="center"/>
    </xf>
    <xf numFmtId="9" fontId="20" fillId="10" borderId="0" xfId="0" applyNumberFormat="1" applyFont="1" applyFill="1" applyBorder="1" applyAlignment="1" applyProtection="1">
      <alignment horizontal="center" vertical="center"/>
    </xf>
    <xf numFmtId="0" fontId="22" fillId="10" borderId="0" xfId="0" applyFont="1" applyFill="1" applyBorder="1" applyAlignment="1" applyProtection="1">
      <alignment horizontal="center" vertical="center"/>
    </xf>
    <xf numFmtId="1" fontId="22" fillId="10" borderId="0" xfId="0" applyNumberFormat="1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 vertical="center"/>
    </xf>
    <xf numFmtId="0" fontId="10" fillId="6" borderId="3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167" fontId="15" fillId="2" borderId="8" xfId="0" applyNumberFormat="1" applyFont="1" applyFill="1" applyBorder="1" applyAlignment="1">
      <alignment horizontal="right"/>
    </xf>
    <xf numFmtId="0" fontId="10" fillId="9" borderId="36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38" xfId="0" applyFont="1" applyFill="1" applyBorder="1" applyAlignment="1">
      <alignment horizontal="center"/>
    </xf>
    <xf numFmtId="0" fontId="10" fillId="9" borderId="27" xfId="0" applyFont="1" applyFill="1" applyBorder="1" applyAlignment="1">
      <alignment horizontal="center"/>
    </xf>
    <xf numFmtId="0" fontId="10" fillId="9" borderId="28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31" xfId="0" applyFont="1" applyFill="1" applyBorder="1" applyAlignment="1">
      <alignment horizontal="center"/>
    </xf>
    <xf numFmtId="0" fontId="10" fillId="9" borderId="32" xfId="0" applyFont="1" applyFill="1" applyBorder="1" applyAlignment="1">
      <alignment horizontal="center"/>
    </xf>
    <xf numFmtId="0" fontId="18" fillId="9" borderId="47" xfId="0" applyFont="1" applyFill="1" applyBorder="1" applyAlignment="1">
      <alignment horizontal="center" vertical="center" wrapText="1"/>
    </xf>
    <xf numFmtId="0" fontId="18" fillId="9" borderId="45" xfId="0" applyFont="1" applyFill="1" applyBorder="1" applyAlignment="1">
      <alignment horizontal="center" vertical="center" wrapText="1"/>
    </xf>
    <xf numFmtId="0" fontId="18" fillId="9" borderId="48" xfId="0" applyFont="1" applyFill="1" applyBorder="1" applyAlignment="1">
      <alignment horizontal="center" vertical="center" wrapText="1"/>
    </xf>
    <xf numFmtId="0" fontId="1" fillId="9" borderId="47" xfId="0" applyFont="1" applyFill="1" applyBorder="1" applyAlignment="1">
      <alignment horizontal="center"/>
    </xf>
    <xf numFmtId="0" fontId="1" fillId="9" borderId="45" xfId="0" applyFont="1" applyFill="1" applyBorder="1" applyAlignment="1">
      <alignment horizontal="center"/>
    </xf>
    <xf numFmtId="0" fontId="1" fillId="9" borderId="46" xfId="0" applyFont="1" applyFill="1" applyBorder="1" applyAlignment="1">
      <alignment horizontal="center"/>
    </xf>
    <xf numFmtId="9" fontId="14" fillId="8" borderId="18" xfId="0" applyNumberFormat="1" applyFont="1" applyFill="1" applyBorder="1" applyAlignment="1">
      <alignment horizontal="left" vertical="center"/>
    </xf>
    <xf numFmtId="9" fontId="14" fillId="8" borderId="0" xfId="0" applyNumberFormat="1" applyFont="1" applyFill="1" applyBorder="1" applyAlignment="1">
      <alignment horizontal="left" vertical="center"/>
    </xf>
    <xf numFmtId="9" fontId="14" fillId="8" borderId="6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3" fillId="12" borderId="4" xfId="0" applyFont="1" applyFill="1" applyBorder="1" applyAlignment="1">
      <alignment horizontal="center" vertical="center"/>
    </xf>
    <xf numFmtId="0" fontId="23" fillId="11" borderId="4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55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FFC000"/>
      </font>
    </dxf>
    <dxf>
      <font>
        <color rgb="FF66FF66"/>
      </font>
    </dxf>
    <dxf>
      <font>
        <color rgb="FFFF0000"/>
      </font>
    </dxf>
    <dxf>
      <font>
        <color rgb="FF66FF66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rgb="FF66FF66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b val="0"/>
        <i val="0"/>
        <color rgb="FF00B050"/>
      </font>
      <fill>
        <patternFill>
          <bgColor rgb="FF00B050"/>
        </patternFill>
      </fill>
    </dxf>
    <dxf>
      <font>
        <b val="0"/>
        <i val="0"/>
        <color rgb="FFC00000"/>
      </font>
      <fill>
        <patternFill>
          <bgColor rgb="FFC000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</dxfs>
  <tableStyles count="0" defaultTableStyle="TableStyleMedium2" defaultPivotStyle="PivotStyleLight16"/>
  <colors>
    <mruColors>
      <color rgb="FF008000"/>
      <color rgb="FFFFFFFF"/>
      <color rgb="FFFF0000"/>
      <color rgb="FF006600"/>
      <color rgb="FF66FF66"/>
      <color rgb="FF33CC33"/>
      <color rgb="FF0000FF"/>
      <color rgb="FF1D1DFF"/>
      <color rgb="FF00FFFF"/>
      <color rgb="FF85DF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119025</xdr:colOff>
      <xdr:row>4</xdr:row>
      <xdr:rowOff>152401</xdr:rowOff>
    </xdr:from>
    <xdr:to>
      <xdr:col>7</xdr:col>
      <xdr:colOff>238125</xdr:colOff>
      <xdr:row>18</xdr:row>
      <xdr:rowOff>164745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25" y="847726"/>
          <a:ext cx="3862425" cy="2545994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495300</xdr:colOff>
      <xdr:row>4</xdr:row>
      <xdr:rowOff>152399</xdr:rowOff>
    </xdr:from>
    <xdr:to>
      <xdr:col>11</xdr:col>
      <xdr:colOff>542925</xdr:colOff>
      <xdr:row>26</xdr:row>
      <xdr:rowOff>104775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847724"/>
          <a:ext cx="2486025" cy="3933826"/>
        </a:xfrm>
        <a:prstGeom prst="rect">
          <a:avLst/>
        </a:prstGeom>
      </xdr:spPr>
    </xdr:pic>
    <xdr:clientData/>
  </xdr:twoCellAnchor>
  <xdr:twoCellAnchor>
    <xdr:from>
      <xdr:col>9</xdr:col>
      <xdr:colOff>485775</xdr:colOff>
      <xdr:row>14</xdr:row>
      <xdr:rowOff>123825</xdr:rowOff>
    </xdr:from>
    <xdr:to>
      <xdr:col>10</xdr:col>
      <xdr:colOff>38100</xdr:colOff>
      <xdr:row>16</xdr:row>
      <xdr:rowOff>47625</xdr:rowOff>
    </xdr:to>
    <xdr:cxnSp macro="">
      <xdr:nvCxnSpPr>
        <xdr:cNvPr id="5" name="Straight Arrow Connector 4"/>
        <xdr:cNvCxnSpPr/>
      </xdr:nvCxnSpPr>
      <xdr:spPr>
        <a:xfrm>
          <a:off x="5448300" y="2628900"/>
          <a:ext cx="161925" cy="2857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136450</xdr:colOff>
      <xdr:row>7</xdr:row>
      <xdr:rowOff>95250</xdr:rowOff>
    </xdr:from>
    <xdr:to>
      <xdr:col>21</xdr:col>
      <xdr:colOff>572894</xdr:colOff>
      <xdr:row>26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775" y="1333500"/>
          <a:ext cx="5922844" cy="3438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66676</xdr:colOff>
      <xdr:row>24</xdr:row>
      <xdr:rowOff>28576</xdr:rowOff>
    </xdr:from>
    <xdr:to>
      <xdr:col>20</xdr:col>
      <xdr:colOff>619126</xdr:colOff>
      <xdr:row>26</xdr:row>
      <xdr:rowOff>161926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026" y="4895851"/>
          <a:ext cx="552450" cy="552450"/>
        </a:xfrm>
        <a:prstGeom prst="rect">
          <a:avLst/>
        </a:prstGeom>
      </xdr:spPr>
    </xdr:pic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1.00318</val>
          </value>
        </values>
      </ddeItem>
      <ddeItem name="AUDCHF" advise="1">
        <values>
          <value>
            <val>0.73792000000000002</val>
          </value>
        </values>
      </ddeItem>
      <ddeItem name="AUDJPY" advise="1">
        <values>
          <value>
            <val>82.433000000000007</val>
          </value>
        </values>
      </ddeItem>
      <ddeItem name="AUDNZD" advise="1">
        <values>
          <value>
            <val>1.07619</val>
          </value>
        </values>
      </ddeItem>
      <ddeItem name="AUDUSD" advise="1">
        <values>
          <value>
            <val>0.77844999999999998</val>
          </value>
        </values>
      </ddeItem>
      <ddeItem name="CADCHF" advise="1">
        <values>
          <value>
            <val>0.73807999999999996</val>
          </value>
        </values>
      </ddeItem>
      <ddeItem name="CADJPY" advise="1">
        <values>
          <value>
            <val>82.378</val>
          </value>
        </values>
      </ddeItem>
      <ddeItem name="CHFJPY" advise="1">
        <values>
          <value>
            <val>111.782</val>
          </value>
        </values>
      </ddeItem>
      <ddeItem name="EURAUD" advise="1">
        <values>
          <value>
            <val>1.60043</val>
          </value>
        </values>
      </ddeItem>
      <ddeItem name="EURCAD" advise="1">
        <values>
          <value>
            <val>1.5954699999999999</val>
          </value>
        </values>
      </ddeItem>
      <ddeItem name="EURCHF" advise="1">
        <values>
          <value>
            <val>1.17241</val>
          </value>
        </values>
      </ddeItem>
      <ddeItem name="EURGBP" advise="1">
        <values>
          <value>
            <val>0.87416000000000005</val>
          </value>
        </values>
      </ddeItem>
      <ddeItem name="EURJPY" advise="1">
        <values>
          <value>
            <val>131.017</val>
          </value>
        </values>
      </ddeItem>
      <ddeItem name="EURNZD" advise="1">
        <values>
          <value>
            <val>1.71102</val>
          </value>
        </values>
      </ddeItem>
      <ddeItem name="EURUSD" advise="1">
        <values>
          <value>
            <val>1.23881</val>
          </value>
        </values>
      </ddeItem>
      <ddeItem name="GBPAUD" advise="1">
        <values>
          <value>
            <val>1.83873</val>
          </value>
        </values>
      </ddeItem>
      <ddeItem name="GBPCAD" advise="1">
        <values>
          <value>
            <val>1.8280099999999999</val>
          </value>
        </values>
      </ddeItem>
      <ddeItem name="GBPCHF" advise="1">
        <values>
          <value>
            <val>1.3458600000000001</val>
          </value>
        </values>
      </ddeItem>
      <ddeItem name="GBPJPY" advise="1">
        <values>
          <value>
            <val>150.11600000000001</val>
          </value>
        </values>
      </ddeItem>
      <ddeItem name="GBPNZD" advise="1">
        <values>
          <value>
            <val>1.9619500000000001</val>
          </value>
        </values>
      </ddeItem>
      <ddeItem name="GBPUSD" advise="1">
        <values>
          <value>
            <val>1.4213800000000001</val>
          </value>
        </values>
      </ddeItem>
      <ddeItem name="NZDCAD" advise="1">
        <values>
          <value>
            <val>0.93523000000000001</val>
          </value>
        </values>
      </ddeItem>
      <ddeItem name="NZDCHF" advise="1">
        <values>
          <value>
            <val>0.68767999999999996</val>
          </value>
        </values>
      </ddeItem>
      <ddeItem name="NZDJPY" advise="1">
        <values>
          <value>
            <val>76.768000000000001</val>
          </value>
        </values>
      </ddeItem>
      <ddeItem name="NZDUSD" advise="1">
        <values>
          <value>
            <val>0.72624</val>
          </value>
        </values>
      </ddeItem>
      <ddeItem name="USDCAD" advise="1">
        <values>
          <value>
            <val>1.29366</val>
          </value>
        </values>
      </ddeItem>
      <ddeItem name="USDCHF" advise="1">
        <values>
          <value>
            <val>0.95101000000000002</val>
          </value>
        </values>
      </ddeItem>
      <ddeItem name="USDJPY" advise="1">
        <values>
          <value>
            <val>106.083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0.99368999999999996</val>
          </value>
        </values>
      </ddeItem>
      <ddeItem name="AUDCHF" advise="1">
        <values>
          <value>
            <val>0.72858000000000001</val>
          </value>
        </values>
      </ddeItem>
      <ddeItem name="AUDJPY" advise="1">
        <values>
          <value>
            <val>80.986000000000004</val>
          </value>
        </values>
      </ddeItem>
      <ddeItem name="AUDNZD" advise="1">
        <values>
          <value>
            <val>1.0655300000000001</val>
          </value>
        </values>
      </ddeItem>
      <ddeItem name="AUDUSD" advise="1">
        <values>
          <value>
            <val>0.76868999999999998</val>
          </value>
        </values>
      </ddeItem>
      <ddeItem name="CADCHF" advise="1">
        <values>
          <value>
            <val>0.73255000000000003</val>
          </value>
        </values>
      </ddeItem>
      <ddeItem name="CADJPY" advise="1">
        <values>
          <value>
            <val>81.409000000000006</val>
          </value>
        </values>
      </ddeItem>
      <ddeItem name="CHFJPY" advise="1">
        <values>
          <value>
            <val>110.922</val>
          </value>
        </values>
      </ddeItem>
      <ddeItem name="EURAUD" advise="1">
        <values>
          <value>
            <val>1.58735</val>
          </value>
        </values>
      </ddeItem>
      <ddeItem name="EURCAD" advise="1">
        <values>
          <value>
            <val>1.58385</val>
          </value>
        </values>
      </ddeItem>
      <ddeItem name="EURCHF" advise="1">
        <values>
          <value>
            <val>1.1651100000000001</val>
          </value>
        </values>
      </ddeItem>
      <ddeItem name="EURGBP" advise="1">
        <values>
          <value>
            <val>0.86687000000000003</val>
          </value>
        </values>
      </ddeItem>
      <ddeItem name="EURJPY" advise="1">
        <values>
          <value>
            <val>129.49799999999999</val>
          </value>
        </values>
      </ddeItem>
      <ddeItem name="EURNZD" advise="1">
        <values>
          <value>
            <val>1.6994</val>
          </value>
        </values>
      </ddeItem>
      <ddeItem name="EURUSD" advise="1">
        <values>
          <value>
            <val>1.2284999999999999</val>
          </value>
        </values>
      </ddeItem>
      <ddeItem name="GBPAUD" advise="1">
        <values>
          <value>
            <val>1.8182700000000001</val>
          </value>
        </values>
      </ddeItem>
      <ddeItem name="GBPCAD" advise="1">
        <values>
          <value>
            <val>1.81724</val>
          </value>
        </values>
      </ddeItem>
      <ddeItem name="GBPCHF" advise="1">
        <values>
          <value>
            <val>1.3342700000000001</val>
          </value>
        </values>
      </ddeItem>
      <ddeItem name="GBPJPY" advise="1">
        <values>
          <value>
            <val>148.27099999999999</val>
          </value>
        </values>
      </ddeItem>
      <ddeItem name="GBPNZD" advise="1">
        <values>
          <value>
            <val>1.9493100000000001</val>
          </value>
        </values>
      </ddeItem>
      <ddeItem name="GBPUSD" advise="1">
        <values>
          <value>
            <val>1.40757</val>
          </value>
        </values>
      </ddeItem>
      <ddeItem name="NZDCAD" advise="1">
        <values>
          <value>
            <val>0.93069999999999997</val>
          </value>
        </values>
      </ddeItem>
      <ddeItem name="NZDCHF" advise="1">
        <values>
          <value>
            <val>0.6835</val>
          </value>
        </values>
      </ddeItem>
      <ddeItem name="NZDJPY" advise="1">
        <values>
          <value>
            <val>75.977999999999994</val>
          </value>
        </values>
      </ddeItem>
      <ddeItem name="NZDUSD" advise="1">
        <values>
          <value>
            <val>0.72121000000000002</val>
          </value>
        </values>
      </ddeItem>
      <ddeItem name="USDCAD" advise="1">
        <values>
          <value>
            <val>1.2829699999999999</val>
          </value>
        </values>
      </ddeItem>
      <ddeItem name="USDCHF" advise="1">
        <values>
          <value>
            <val>0.94591999999999998</val>
          </value>
        </values>
      </ddeItem>
      <ddeItem name="USDJPY" advise="1">
        <values>
          <value>
            <val>105.259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0.99529000000000001</val>
          </value>
        </values>
      </ddeItem>
      <ddeItem name="AUDCHF" advise="1">
        <values>
          <value>
            <val>0.73368999999999995</val>
          </value>
        </values>
      </ddeItem>
      <ddeItem name="AUDJPY" advise="1">
        <values>
          <value>
            <val>81.602000000000004</val>
          </value>
        </values>
      </ddeItem>
      <ddeItem name="AUDNZD" advise="1">
        <values>
          <value>
            <val>1.06802</val>
          </value>
        </values>
      </ddeItem>
      <ddeItem name="AUDUSD" advise="1">
        <values>
          <value>
            <val>0.77181999999999995</val>
          </value>
        </values>
      </ddeItem>
      <ddeItem name="CADCHF" advise="1">
        <values>
          <value>
            <val>0.73712</val>
          </value>
        </values>
      </ddeItem>
      <ddeItem name="CADJPY" advise="1">
        <values>
          <value>
            <val>81.983999999999995</val>
          </value>
        </values>
      </ddeItem>
      <ddeItem name="CHFJPY" advise="1">
        <values>
          <value>
            <val>111.214</val>
          </value>
        </values>
      </ddeItem>
      <ddeItem name="EURAUD" advise="1">
        <values>
          <value>
            <val>1.5944700000000001</val>
          </value>
        </values>
      </ddeItem>
      <ddeItem name="EURCAD" advise="1">
        <values>
          <value>
            <val>1.58707</val>
          </value>
        </values>
      </ddeItem>
      <ddeItem name="EURCHF" advise="1">
        <values>
          <value>
            <val>1.1698999999999999</val>
          </value>
        </values>
      </ddeItem>
      <ddeItem name="EURGBP" advise="1">
        <values>
          <value>
            <val>0.87212999999999996</val>
          </value>
        </values>
      </ddeItem>
      <ddeItem name="EURJPY" advise="1">
        <values>
          <value>
            <val>130.11799999999999</val>
          </value>
        </values>
      </ddeItem>
      <ddeItem name="EURNZD" advise="1">
        <values>
          <value>
            <val>1.70303</val>
          </value>
        </values>
      </ddeItem>
      <ddeItem name="EURUSD" advise="1">
        <values>
          <value>
            <val>1.23072</val>
          </value>
        </values>
      </ddeItem>
      <ddeItem name="GBPAUD" advise="1">
        <values>
          <value>
            <val>1.8281499999999999</val>
          </value>
        </values>
      </ddeItem>
      <ddeItem name="GBPCAD" advise="1">
        <values>
          <value>
            <val>1.8196300000000001</val>
          </value>
        </values>
      </ddeItem>
      <ddeItem name="GBPCHF" advise="1">
        <values>
          <value>
            <val>1.34138</val>
          </value>
        </values>
      </ddeItem>
      <ddeItem name="GBPJPY" advise="1">
        <values>
          <value>
            <val>149.19</val>
          </value>
        </values>
      </ddeItem>
      <ddeItem name="GBPNZD" advise="1">
        <values>
          <value>
            <val>1.9525999999999999</val>
          </value>
        </values>
      </ddeItem>
      <ddeItem name="GBPUSD" advise="1">
        <values>
          <value>
            <val>1.4111</val>
          </value>
        </values>
      </ddeItem>
      <ddeItem name="NZDCAD" advise="1">
        <values>
          <value>
            <val>0.93183000000000005</val>
          </value>
        </values>
      </ddeItem>
      <ddeItem name="NZDCHF" advise="1">
        <values>
          <value>
            <val>0.68691000000000002</val>
          </value>
        </values>
      </ddeItem>
      <ddeItem name="NZDJPY" advise="1">
        <values>
          <value>
            <val>76.399000000000001</val>
          </value>
        </values>
      </ddeItem>
      <ddeItem name="NZDUSD" advise="1">
        <values>
          <value>
            <val>0.72260000000000002</val>
          </value>
        </values>
      </ddeItem>
      <ddeItem name="USDCAD" advise="1">
        <values>
          <value>
            <val>1.28962</val>
          </value>
        </values>
      </ddeItem>
      <ddeItem name="USDCHF" advise="1">
        <values>
          <value>
            <val>0.95059000000000005</val>
          </value>
        </values>
      </ddeItem>
      <ddeItem name="USDJPY" advise="1">
        <values>
          <value>
            <val>105.726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0.99541999999999997</val>
          </value>
        </values>
      </ddeItem>
      <ddeItem name="AUDCHF" advise="1">
        <values>
          <value>
            <val>0.73377000000000003</val>
          </value>
        </values>
      </ddeItem>
      <ddeItem name="AUDJPY" advise="1">
        <values>
          <value>
            <val>81.61</val>
          </value>
        </values>
      </ddeItem>
      <ddeItem name="AUDNZD" advise="1">
        <values>
          <value>
            <val>1.06812</val>
          </value>
        </values>
      </ddeItem>
      <ddeItem name="AUDUSD" advise="1">
        <values>
          <value>
            <val>0.77188000000000001</val>
          </value>
        </values>
      </ddeItem>
      <ddeItem name="CADCHF" advise="1">
        <values>
          <value>
            <val>0.73721999999999999</val>
          </value>
        </values>
      </ddeItem>
      <ddeItem name="CADJPY" advise="1">
        <values>
          <value>
            <val>81.991</val>
          </value>
        </values>
      </ddeItem>
      <ddeItem name="CHFJPY" advise="1">
        <values>
          <value>
            <val>111.22499999999999</val>
          </value>
        </values>
      </ddeItem>
      <ddeItem name="EURAUD" advise="1">
        <values>
          <value>
            <val>1.5945800000000001</val>
          </value>
        </values>
      </ddeItem>
      <ddeItem name="EURCAD" advise="1">
        <values>
          <value>
            <val>1.5871900000000001</val>
          </value>
        </values>
      </ddeItem>
      <ddeItem name="EURCHF" advise="1">
        <values>
          <value>
            <val>1.17004</val>
          </value>
        </values>
      </ddeItem>
      <ddeItem name="EURGBP" advise="1">
        <values>
          <value>
            <val>0.87217999999999996</val>
          </value>
        </values>
      </ddeItem>
      <ddeItem name="EURJPY" advise="1">
        <values>
          <value>
            <val>130.125</val>
          </value>
        </values>
      </ddeItem>
      <ddeItem name="EURNZD" advise="1">
        <values>
          <value>
            <val>1.70319</val>
          </value>
        </values>
      </ddeItem>
      <ddeItem name="EURUSD" advise="1">
        <values>
          <value>
            <val>1.2307300000000001</val>
          </value>
        </values>
      </ddeItem>
      <ddeItem name="GBPAUD" advise="1">
        <values>
          <value>
            <val>1.82829</val>
          </value>
        </values>
      </ddeItem>
      <ddeItem name="GBPCAD" advise="1">
        <values>
          <value>
            <val>1.81982</val>
          </value>
        </values>
      </ddeItem>
      <ddeItem name="GBPCHF" advise="1">
        <values>
          <value>
            <val>1.34148</val>
          </value>
        </values>
      </ddeItem>
      <ddeItem name="GBPJPY" advise="1">
        <values>
          <value>
            <val>149.19900000000001</val>
          </value>
        </values>
      </ddeItem>
      <ddeItem name="GBPNZD" advise="1">
        <values>
          <value>
            <val>1.95282</val>
          </value>
        </values>
      </ddeItem>
      <ddeItem name="GBPUSD" advise="1">
        <values>
          <value>
            <val>1.4111499999999999</val>
          </value>
        </values>
      </ddeItem>
      <ddeItem name="NZDCAD" advise="1">
        <values>
          <value>
            <val>0.93196999999999997</val>
          </value>
        </values>
      </ddeItem>
      <ddeItem name="NZDCHF" advise="1">
        <values>
          <value>
            <val>0.68701999999999996</val>
          </value>
        </values>
      </ddeItem>
      <ddeItem name="NZDJPY" advise="1">
        <values>
          <value>
            <val>76.409000000000006</val>
          </value>
        </values>
      </ddeItem>
      <ddeItem name="NZDUSD" advise="1">
        <values>
          <value>
            <val>0.72267999999999999</val>
          </value>
        </values>
      </ddeItem>
      <ddeItem name="USDCAD" advise="1">
        <values>
          <value>
            <val>1.28969</val>
          </value>
        </values>
      </ddeItem>
      <ddeItem name="USDCHF" advise="1">
        <values>
          <value>
            <val>0.95065999999999995</val>
          </value>
        </values>
      </ddeItem>
      <ddeItem name="USDJPY" advise="1">
        <values>
          <value>
            <val>105.729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P30"/>
  <sheetViews>
    <sheetView showGridLines="0" showRowColHeaders="0" workbookViewId="0">
      <selection activeCell="Q30" sqref="Q30"/>
    </sheetView>
  </sheetViews>
  <sheetFormatPr defaultRowHeight="12.75" x14ac:dyDescent="0.2"/>
  <cols>
    <col min="1" max="1" width="4.5703125" style="4" customWidth="1"/>
    <col min="2" max="2" width="5.85546875" style="4" customWidth="1"/>
    <col min="3" max="16384" width="9.140625" style="4"/>
  </cols>
  <sheetData>
    <row r="2" spans="2:16" ht="14.1" customHeight="1" x14ac:dyDescent="0.2"/>
    <row r="3" spans="2:16" ht="14.45" customHeight="1" x14ac:dyDescent="0.25">
      <c r="B3" s="11" t="s">
        <v>38</v>
      </c>
      <c r="I3" s="11" t="s">
        <v>59</v>
      </c>
      <c r="N3" s="11" t="s">
        <v>58</v>
      </c>
    </row>
    <row r="4" spans="2:16" ht="14.45" customHeight="1" x14ac:dyDescent="0.25">
      <c r="I4" s="11" t="s">
        <v>60</v>
      </c>
      <c r="O4" s="11" t="s">
        <v>61</v>
      </c>
      <c r="P4" s="11"/>
    </row>
    <row r="5" spans="2:16" ht="14.45" customHeight="1" x14ac:dyDescent="0.25">
      <c r="O5" s="11" t="s">
        <v>62</v>
      </c>
      <c r="P5" s="11"/>
    </row>
    <row r="6" spans="2:16" ht="14.45" customHeight="1" x14ac:dyDescent="0.25">
      <c r="O6" s="11" t="s">
        <v>63</v>
      </c>
      <c r="P6" s="11"/>
    </row>
    <row r="7" spans="2:16" ht="14.45" customHeight="1" x14ac:dyDescent="0.25">
      <c r="O7" s="11" t="s">
        <v>64</v>
      </c>
    </row>
    <row r="8" spans="2:16" ht="14.45" customHeight="1" x14ac:dyDescent="0.2"/>
    <row r="9" spans="2:16" ht="14.45" customHeight="1" x14ac:dyDescent="0.2"/>
    <row r="10" spans="2:16" ht="14.45" customHeight="1" x14ac:dyDescent="0.2"/>
    <row r="11" spans="2:16" ht="14.45" customHeight="1" x14ac:dyDescent="0.2"/>
    <row r="12" spans="2:16" ht="14.45" customHeight="1" x14ac:dyDescent="0.2"/>
    <row r="13" spans="2:16" ht="14.45" customHeight="1" x14ac:dyDescent="0.2"/>
    <row r="14" spans="2:16" ht="14.45" customHeight="1" x14ac:dyDescent="0.2"/>
    <row r="15" spans="2:16" ht="14.45" customHeight="1" x14ac:dyDescent="0.2"/>
    <row r="16" spans="2:16" ht="14.45" customHeight="1" x14ac:dyDescent="0.2"/>
    <row r="17" ht="14.45" customHeight="1" x14ac:dyDescent="0.2"/>
    <row r="18" ht="14.45" customHeight="1" x14ac:dyDescent="0.2"/>
    <row r="19" ht="14.45" customHeight="1" x14ac:dyDescent="0.2"/>
    <row r="20" ht="14.45" customHeight="1" x14ac:dyDescent="0.2"/>
    <row r="21" ht="14.45" customHeight="1" x14ac:dyDescent="0.2"/>
    <row r="22" ht="14.45" customHeight="1" x14ac:dyDescent="0.2"/>
    <row r="23" ht="14.45" customHeight="1" x14ac:dyDescent="0.2"/>
    <row r="24" ht="14.45" customHeight="1" x14ac:dyDescent="0.2"/>
    <row r="25" ht="14.45" customHeight="1" x14ac:dyDescent="0.2"/>
    <row r="26" ht="14.45" customHeight="1" x14ac:dyDescent="0.2"/>
    <row r="27" ht="14.45" customHeight="1" x14ac:dyDescent="0.2"/>
    <row r="28" ht="14.45" customHeight="1" x14ac:dyDescent="0.2"/>
    <row r="29" ht="14.45" customHeight="1" x14ac:dyDescent="0.2"/>
    <row r="30" ht="14.45" customHeight="1" x14ac:dyDescent="0.2"/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X32"/>
  <sheetViews>
    <sheetView showGridLines="0" showRowColHeaders="0" zoomScaleNormal="100" workbookViewId="0">
      <selection activeCell="N33" sqref="N33"/>
    </sheetView>
  </sheetViews>
  <sheetFormatPr defaultRowHeight="12.75" x14ac:dyDescent="0.2"/>
  <cols>
    <col min="1" max="1" width="7" style="1" customWidth="1"/>
    <col min="2" max="7" width="8.7109375" style="1" customWidth="1"/>
    <col min="8" max="8" width="8.7109375" style="1" hidden="1" customWidth="1"/>
    <col min="9" max="12" width="8.7109375" style="1" customWidth="1"/>
    <col min="13" max="13" width="3.5703125" style="1" customWidth="1"/>
    <col min="14" max="19" width="8.7109375" style="1" customWidth="1"/>
    <col min="20" max="20" width="8.7109375" style="1" hidden="1" customWidth="1"/>
    <col min="21" max="24" width="8.7109375" style="1" customWidth="1"/>
    <col min="25" max="16384" width="9.140625" style="1"/>
  </cols>
  <sheetData>
    <row r="2" spans="2:24" ht="14.1" customHeight="1" x14ac:dyDescent="0.2">
      <c r="B2" s="86" t="s">
        <v>39</v>
      </c>
      <c r="N2" s="86" t="s">
        <v>40</v>
      </c>
    </row>
    <row r="3" spans="2:24" ht="14.1" customHeight="1" x14ac:dyDescent="0.2">
      <c r="B3" s="83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 t="s">
        <v>6</v>
      </c>
      <c r="J3" s="2" t="s">
        <v>37</v>
      </c>
      <c r="K3" s="2" t="s">
        <v>7</v>
      </c>
      <c r="L3" s="3" t="s">
        <v>8</v>
      </c>
      <c r="N3" s="83" t="s">
        <v>0</v>
      </c>
      <c r="O3" s="2" t="s">
        <v>1</v>
      </c>
      <c r="P3" s="2" t="s">
        <v>2</v>
      </c>
      <c r="Q3" s="2" t="s">
        <v>3</v>
      </c>
      <c r="R3" s="2" t="s">
        <v>4</v>
      </c>
      <c r="S3" s="2" t="s">
        <v>5</v>
      </c>
      <c r="T3" s="2"/>
      <c r="U3" s="2" t="s">
        <v>6</v>
      </c>
      <c r="V3" s="2" t="s">
        <v>37</v>
      </c>
      <c r="W3" s="2" t="s">
        <v>7</v>
      </c>
      <c r="X3" s="3" t="s">
        <v>8</v>
      </c>
    </row>
    <row r="4" spans="2:24" ht="14.45" customHeight="1" x14ac:dyDescent="0.2">
      <c r="B4" s="84" t="s">
        <v>9</v>
      </c>
      <c r="C4" s="12">
        <f>[1]!EURGBP</f>
        <v>0.87416000000000005</v>
      </c>
      <c r="D4" s="12">
        <f>[2]!EURGBP</f>
        <v>0.86687000000000003</v>
      </c>
      <c r="E4" s="12">
        <f>[3]!EURGBP</f>
        <v>0.87212999999999996</v>
      </c>
      <c r="F4" s="12">
        <f>[4]!EURGBP</f>
        <v>0.87217999999999996</v>
      </c>
      <c r="G4" s="13">
        <f t="shared" ref="G4:G10" si="0">(E4-D4)/(C4-D4)</f>
        <v>0.72153635116596948</v>
      </c>
      <c r="H4" s="13">
        <f t="shared" ref="H4:H10" si="1">(C4-F4)/(C4-D4)</f>
        <v>0.27160493827161697</v>
      </c>
      <c r="I4" s="13">
        <f t="shared" ref="I4:I10" si="2">1-G4</f>
        <v>0.27846364883403052</v>
      </c>
      <c r="J4" s="14">
        <f t="shared" ref="J4:J10" si="3">+G4-I4</f>
        <v>0.44307270233193896</v>
      </c>
      <c r="K4" s="15">
        <f t="shared" ref="K4:K9" si="4">(F4-E4)*10000</f>
        <v>0.49999999999994493</v>
      </c>
      <c r="L4" s="16">
        <f t="shared" ref="L4:L9" si="5">(+C4-D4)*10000</f>
        <v>72.90000000000019</v>
      </c>
      <c r="N4" s="85" t="s">
        <v>16</v>
      </c>
      <c r="O4" s="5">
        <f>[1]!GBPAUD</f>
        <v>1.83873</v>
      </c>
      <c r="P4" s="5">
        <f>[2]!GBPAUD</f>
        <v>1.8182700000000001</v>
      </c>
      <c r="Q4" s="5">
        <f>[3]!GBPAUD</f>
        <v>1.8281499999999999</v>
      </c>
      <c r="R4" s="5">
        <f>[4]!GBPAUD</f>
        <v>1.82829</v>
      </c>
      <c r="S4" s="6">
        <f t="shared" ref="S4:S9" si="6">(Q4-P4)/(O4-P4)</f>
        <v>0.48289345063538253</v>
      </c>
      <c r="T4" s="6">
        <f t="shared" ref="T4:T9" si="7">(O4-R4)/(O4-P4)</f>
        <v>0.51026392961877054</v>
      </c>
      <c r="U4" s="6">
        <f t="shared" ref="U4:U9" si="8">1-S4</f>
        <v>0.51710654936461742</v>
      </c>
      <c r="V4" s="7">
        <f t="shared" ref="V4:V9" si="9">+S4-U4</f>
        <v>-3.4213098729234892E-2</v>
      </c>
      <c r="W4" s="8">
        <f>(R4-Q4)*10000</f>
        <v>1.4000000000002899</v>
      </c>
      <c r="X4" s="9">
        <f>(+O4-P4)*10000</f>
        <v>204.59999999999923</v>
      </c>
    </row>
    <row r="5" spans="2:24" ht="14.45" customHeight="1" x14ac:dyDescent="0.2">
      <c r="B5" s="85" t="s">
        <v>10</v>
      </c>
      <c r="C5" s="5">
        <f>[1]!EURAUD</f>
        <v>1.60043</v>
      </c>
      <c r="D5" s="5">
        <f>[2]!EURAUD</f>
        <v>1.58735</v>
      </c>
      <c r="E5" s="5">
        <f>[3]!EURAUD</f>
        <v>1.5944700000000001</v>
      </c>
      <c r="F5" s="5">
        <f>[4]!EURAUD</f>
        <v>1.5945800000000001</v>
      </c>
      <c r="G5" s="6">
        <f t="shared" si="0"/>
        <v>0.54434250764526193</v>
      </c>
      <c r="H5" s="6">
        <f t="shared" si="1"/>
        <v>0.44724770642201217</v>
      </c>
      <c r="I5" s="6">
        <f t="shared" si="2"/>
        <v>0.45565749235473807</v>
      </c>
      <c r="J5" s="7">
        <f t="shared" si="3"/>
        <v>8.8685015290523861E-2</v>
      </c>
      <c r="K5" s="8">
        <f t="shared" si="4"/>
        <v>1.100000000000545</v>
      </c>
      <c r="L5" s="9">
        <f t="shared" si="5"/>
        <v>130.79999999999981</v>
      </c>
      <c r="N5" s="84" t="s">
        <v>17</v>
      </c>
      <c r="O5" s="12">
        <f>[1]!GBPNZD</f>
        <v>1.9619500000000001</v>
      </c>
      <c r="P5" s="12">
        <f>[2]!GBPNZD</f>
        <v>1.9493100000000001</v>
      </c>
      <c r="Q5" s="12">
        <f>[3]!GBPNZD</f>
        <v>1.9525999999999999</v>
      </c>
      <c r="R5" s="12">
        <f>[4]!GBPNZD</f>
        <v>1.95282</v>
      </c>
      <c r="S5" s="13">
        <f t="shared" si="6"/>
        <v>0.26028481012656624</v>
      </c>
      <c r="T5" s="13">
        <f t="shared" si="7"/>
        <v>0.72231012658228588</v>
      </c>
      <c r="U5" s="13">
        <f t="shared" si="8"/>
        <v>0.73971518987343376</v>
      </c>
      <c r="V5" s="14">
        <f t="shared" si="9"/>
        <v>-0.47943037974686753</v>
      </c>
      <c r="W5" s="15">
        <f>(R5-Q5)*10000</f>
        <v>2.20000000000109</v>
      </c>
      <c r="X5" s="16">
        <f>(+O5-P5)*10000</f>
        <v>126.39999999999985</v>
      </c>
    </row>
    <row r="6" spans="2:24" ht="14.45" customHeight="1" x14ac:dyDescent="0.2">
      <c r="B6" s="84" t="s">
        <v>11</v>
      </c>
      <c r="C6" s="12">
        <f>[1]!EURNZD</f>
        <v>1.71102</v>
      </c>
      <c r="D6" s="12">
        <f>[2]!EURNZD</f>
        <v>1.6994</v>
      </c>
      <c r="E6" s="12">
        <f>[3]!EURNZD</f>
        <v>1.70303</v>
      </c>
      <c r="F6" s="12">
        <f>[4]!EURNZD</f>
        <v>1.70319</v>
      </c>
      <c r="G6" s="13">
        <f t="shared" si="0"/>
        <v>0.31239242685026103</v>
      </c>
      <c r="H6" s="13">
        <f t="shared" si="1"/>
        <v>0.67383820998279076</v>
      </c>
      <c r="I6" s="13">
        <f t="shared" si="2"/>
        <v>0.68760757314973897</v>
      </c>
      <c r="J6" s="14">
        <f t="shared" si="3"/>
        <v>-0.37521514629947794</v>
      </c>
      <c r="K6" s="15">
        <f t="shared" si="4"/>
        <v>1.5999999999993797</v>
      </c>
      <c r="L6" s="16">
        <f t="shared" si="5"/>
        <v>116.19999999999963</v>
      </c>
      <c r="N6" s="85" t="s">
        <v>18</v>
      </c>
      <c r="O6" s="5">
        <f>[1]!GBPCAD</f>
        <v>1.8280099999999999</v>
      </c>
      <c r="P6" s="5">
        <f>[2]!GBPCAD</f>
        <v>1.81724</v>
      </c>
      <c r="Q6" s="5">
        <f>[3]!GBPCAD</f>
        <v>1.8196300000000001</v>
      </c>
      <c r="R6" s="5">
        <f>[4]!GBPCAD</f>
        <v>1.81982</v>
      </c>
      <c r="S6" s="6">
        <f t="shared" si="6"/>
        <v>0.22191272051997457</v>
      </c>
      <c r="T6" s="6">
        <f t="shared" si="7"/>
        <v>0.76044568245124977</v>
      </c>
      <c r="U6" s="6">
        <f t="shared" si="8"/>
        <v>0.77808727948002543</v>
      </c>
      <c r="V6" s="7">
        <f t="shared" si="9"/>
        <v>-0.55617455896005086</v>
      </c>
      <c r="W6" s="8">
        <f>(R6-Q6)*10000</f>
        <v>1.8999999999991246</v>
      </c>
      <c r="X6" s="9">
        <f>(+O6-P6)*10000</f>
        <v>107.69999999999946</v>
      </c>
    </row>
    <row r="7" spans="2:24" ht="14.45" customHeight="1" x14ac:dyDescent="0.2">
      <c r="B7" s="85" t="s">
        <v>12</v>
      </c>
      <c r="C7" s="5">
        <f>[1]!EURCAD</f>
        <v>1.5954699999999999</v>
      </c>
      <c r="D7" s="5">
        <f>[2]!EURCAD</f>
        <v>1.58385</v>
      </c>
      <c r="E7" s="5">
        <f>[3]!EURCAD</f>
        <v>1.58707</v>
      </c>
      <c r="F7" s="5">
        <f>[4]!EURCAD</f>
        <v>1.5871900000000001</v>
      </c>
      <c r="G7" s="6">
        <f t="shared" si="0"/>
        <v>0.27710843373494071</v>
      </c>
      <c r="H7" s="6">
        <f t="shared" si="1"/>
        <v>0.71256454388983381</v>
      </c>
      <c r="I7" s="6">
        <f t="shared" si="2"/>
        <v>0.72289156626505924</v>
      </c>
      <c r="J7" s="7">
        <f t="shared" si="3"/>
        <v>-0.44578313253011853</v>
      </c>
      <c r="K7" s="8">
        <f t="shared" si="4"/>
        <v>1.2000000000012001</v>
      </c>
      <c r="L7" s="9">
        <f t="shared" si="5"/>
        <v>116.19999999999963</v>
      </c>
      <c r="N7" s="84" t="s">
        <v>19</v>
      </c>
      <c r="O7" s="12">
        <f>[1]!GBPCHF</f>
        <v>1.3458600000000001</v>
      </c>
      <c r="P7" s="12">
        <f>[2]!GBPCHF</f>
        <v>1.3342700000000001</v>
      </c>
      <c r="Q7" s="12">
        <f>[3]!GBPCHF</f>
        <v>1.34138</v>
      </c>
      <c r="R7" s="12">
        <f>[4]!GBPCHF</f>
        <v>1.34148</v>
      </c>
      <c r="S7" s="13">
        <f t="shared" si="6"/>
        <v>0.61345987920620848</v>
      </c>
      <c r="T7" s="13">
        <f t="shared" si="7"/>
        <v>0.37791199309750256</v>
      </c>
      <c r="U7" s="13">
        <f t="shared" si="8"/>
        <v>0.38654012079379152</v>
      </c>
      <c r="V7" s="14">
        <f t="shared" si="9"/>
        <v>0.22691975841241696</v>
      </c>
      <c r="W7" s="15">
        <f>(R7-Q7)*10000</f>
        <v>0.99999999999988987</v>
      </c>
      <c r="X7" s="16">
        <f>(+O7-P7)*10000</f>
        <v>115.89999999999989</v>
      </c>
    </row>
    <row r="8" spans="2:24" ht="14.45" customHeight="1" x14ac:dyDescent="0.2">
      <c r="B8" s="84" t="s">
        <v>13</v>
      </c>
      <c r="C8" s="12">
        <f>[1]!EURCHF</f>
        <v>1.17241</v>
      </c>
      <c r="D8" s="12">
        <f>[2]!EURCHF</f>
        <v>1.1651100000000001</v>
      </c>
      <c r="E8" s="12">
        <f>[3]!EURCHF</f>
        <v>1.1698999999999999</v>
      </c>
      <c r="F8" s="12">
        <f>[4]!EURCHF</f>
        <v>1.17004</v>
      </c>
      <c r="G8" s="13">
        <f t="shared" si="0"/>
        <v>0.65616438356163564</v>
      </c>
      <c r="H8" s="13">
        <f t="shared" si="1"/>
        <v>0.32465753424657917</v>
      </c>
      <c r="I8" s="13">
        <f t="shared" si="2"/>
        <v>0.34383561643836436</v>
      </c>
      <c r="J8" s="14">
        <f t="shared" si="3"/>
        <v>0.31232876712327129</v>
      </c>
      <c r="K8" s="15">
        <f t="shared" si="4"/>
        <v>1.4000000000002899</v>
      </c>
      <c r="L8" s="16">
        <f t="shared" si="5"/>
        <v>72.999999999998622</v>
      </c>
      <c r="N8" s="85" t="s">
        <v>20</v>
      </c>
      <c r="O8" s="5">
        <f>[1]!GBPUSD</f>
        <v>1.4213800000000001</v>
      </c>
      <c r="P8" s="5">
        <f>[2]!GBPUSD</f>
        <v>1.40757</v>
      </c>
      <c r="Q8" s="5">
        <f>[3]!GBPUSD</f>
        <v>1.4111</v>
      </c>
      <c r="R8" s="5">
        <f>[4]!GBPUSD</f>
        <v>1.4111499999999999</v>
      </c>
      <c r="S8" s="6">
        <f t="shared" si="6"/>
        <v>0.25561187545257114</v>
      </c>
      <c r="T8" s="6">
        <f t="shared" si="7"/>
        <v>0.74076755973932729</v>
      </c>
      <c r="U8" s="6">
        <f t="shared" si="8"/>
        <v>0.74438812454742886</v>
      </c>
      <c r="V8" s="7">
        <f t="shared" si="9"/>
        <v>-0.48877624909485773</v>
      </c>
      <c r="W8" s="8">
        <f>(R8-Q8)*10000</f>
        <v>0.49999999999883471</v>
      </c>
      <c r="X8" s="9">
        <f>(+O8-P8)*10000</f>
        <v>138.10000000000099</v>
      </c>
    </row>
    <row r="9" spans="2:24" ht="14.45" customHeight="1" x14ac:dyDescent="0.2">
      <c r="B9" s="85" t="s">
        <v>14</v>
      </c>
      <c r="C9" s="5">
        <f>[1]!EURUSD</f>
        <v>1.23881</v>
      </c>
      <c r="D9" s="5">
        <f>[2]!EURUSD</f>
        <v>1.2284999999999999</v>
      </c>
      <c r="E9" s="5">
        <f>[3]!EURUSD</f>
        <v>1.23072</v>
      </c>
      <c r="F9" s="5">
        <f>[4]!EURUSD</f>
        <v>1.2307300000000001</v>
      </c>
      <c r="G9" s="6">
        <f t="shared" si="0"/>
        <v>0.21532492725510202</v>
      </c>
      <c r="H9" s="6">
        <f t="shared" si="1"/>
        <v>0.78370514064013896</v>
      </c>
      <c r="I9" s="6">
        <f t="shared" si="2"/>
        <v>0.78467507274489801</v>
      </c>
      <c r="J9" s="7">
        <f t="shared" si="3"/>
        <v>-0.56935014548979601</v>
      </c>
      <c r="K9" s="8">
        <f t="shared" si="4"/>
        <v>0.10000000000065512</v>
      </c>
      <c r="L9" s="9">
        <f t="shared" si="5"/>
        <v>103.10000000000042</v>
      </c>
      <c r="N9" s="84" t="s">
        <v>21</v>
      </c>
      <c r="O9" s="17">
        <f>[1]!GBPJPY</f>
        <v>150.11600000000001</v>
      </c>
      <c r="P9" s="17">
        <f>[2]!GBPJPY</f>
        <v>148.27099999999999</v>
      </c>
      <c r="Q9" s="17">
        <f>[3]!GBPJPY</f>
        <v>149.19</v>
      </c>
      <c r="R9" s="17">
        <f>[4]!GBPJPY</f>
        <v>149.19900000000001</v>
      </c>
      <c r="S9" s="13">
        <f t="shared" si="6"/>
        <v>0.49810298102980899</v>
      </c>
      <c r="T9" s="13">
        <f t="shared" si="7"/>
        <v>0.49701897018969543</v>
      </c>
      <c r="U9" s="13">
        <f t="shared" si="8"/>
        <v>0.50189701897019101</v>
      </c>
      <c r="V9" s="14">
        <f t="shared" si="9"/>
        <v>-3.7940379403820224E-3</v>
      </c>
      <c r="W9" s="15">
        <f>(R9-Q9)*100</f>
        <v>0.90000000000145519</v>
      </c>
      <c r="X9" s="16">
        <f>(+O9-P9)*100</f>
        <v>184.50000000000273</v>
      </c>
    </row>
    <row r="10" spans="2:24" ht="14.45" customHeight="1" x14ac:dyDescent="0.2">
      <c r="B10" s="84" t="s">
        <v>15</v>
      </c>
      <c r="C10" s="17">
        <f>[1]!EURJPY</f>
        <v>131.017</v>
      </c>
      <c r="D10" s="17">
        <f>[2]!EURJPY</f>
        <v>129.49799999999999</v>
      </c>
      <c r="E10" s="17">
        <f>[3]!EURJPY</f>
        <v>130.11799999999999</v>
      </c>
      <c r="F10" s="17">
        <f>[4]!EURJPY</f>
        <v>130.125</v>
      </c>
      <c r="G10" s="13">
        <f t="shared" si="0"/>
        <v>0.40816326530612396</v>
      </c>
      <c r="H10" s="13">
        <f t="shared" si="1"/>
        <v>0.58722843976299721</v>
      </c>
      <c r="I10" s="13">
        <f t="shared" si="2"/>
        <v>0.59183673469387599</v>
      </c>
      <c r="J10" s="14">
        <f t="shared" si="3"/>
        <v>-0.18367346938775203</v>
      </c>
      <c r="K10" s="15">
        <f>(F10-E10)*100</f>
        <v>0.70000000000050022</v>
      </c>
      <c r="L10" s="16">
        <f>(+C10-D10)*100</f>
        <v>151.90000000000055</v>
      </c>
    </row>
    <row r="11" spans="2:24" ht="14.45" customHeight="1" x14ac:dyDescent="0.2">
      <c r="B11" s="87"/>
      <c r="C11" s="88"/>
      <c r="D11" s="88"/>
      <c r="E11" s="88"/>
      <c r="F11" s="88"/>
      <c r="G11" s="89"/>
      <c r="H11" s="89"/>
      <c r="I11" s="89"/>
      <c r="J11" s="90"/>
      <c r="K11" s="91"/>
      <c r="L11" s="92"/>
      <c r="N11" s="86" t="s">
        <v>42</v>
      </c>
    </row>
    <row r="12" spans="2:24" ht="14.45" customHeight="1" x14ac:dyDescent="0.2">
      <c r="B12" s="86" t="s">
        <v>41</v>
      </c>
      <c r="N12" s="83" t="s">
        <v>0</v>
      </c>
      <c r="O12" s="2" t="s">
        <v>1</v>
      </c>
      <c r="P12" s="2" t="s">
        <v>2</v>
      </c>
      <c r="Q12" s="2" t="s">
        <v>3</v>
      </c>
      <c r="R12" s="2" t="s">
        <v>4</v>
      </c>
      <c r="S12" s="2" t="s">
        <v>5</v>
      </c>
      <c r="T12" s="2"/>
      <c r="U12" s="2" t="s">
        <v>6</v>
      </c>
      <c r="V12" s="2" t="s">
        <v>37</v>
      </c>
      <c r="W12" s="2" t="s">
        <v>7</v>
      </c>
      <c r="X12" s="3" t="s">
        <v>8</v>
      </c>
    </row>
    <row r="13" spans="2:24" ht="14.45" customHeight="1" x14ac:dyDescent="0.2">
      <c r="B13" s="83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/>
      <c r="I13" s="2" t="s">
        <v>6</v>
      </c>
      <c r="J13" s="2" t="s">
        <v>37</v>
      </c>
      <c r="K13" s="2" t="s">
        <v>7</v>
      </c>
      <c r="L13" s="3" t="s">
        <v>8</v>
      </c>
      <c r="N13" s="84" t="s">
        <v>27</v>
      </c>
      <c r="O13" s="12">
        <f>[1]!NZDCAD</f>
        <v>0.93523000000000001</v>
      </c>
      <c r="P13" s="12">
        <f>[2]!NZDCAD</f>
        <v>0.93069999999999997</v>
      </c>
      <c r="Q13" s="12">
        <f>[3]!NZDCAD</f>
        <v>0.93183000000000005</v>
      </c>
      <c r="R13" s="12">
        <f>[4]!NZDCAD</f>
        <v>0.93196999999999997</v>
      </c>
      <c r="S13" s="13">
        <f>(Q13-P13)/(O13-P13)</f>
        <v>0.24944812362032381</v>
      </c>
      <c r="T13" s="13">
        <f>(O13-R13)/(O13-P13)</f>
        <v>0.71964679911700136</v>
      </c>
      <c r="U13" s="13">
        <f>1-S13</f>
        <v>0.75055187637967613</v>
      </c>
      <c r="V13" s="14">
        <f>+S13-U13</f>
        <v>-0.50110375275935226</v>
      </c>
      <c r="W13" s="15">
        <f>(R13-Q13)*10000</f>
        <v>1.3999999999991797</v>
      </c>
      <c r="X13" s="16">
        <f>(+O13-P13)*10000</f>
        <v>45.300000000000338</v>
      </c>
    </row>
    <row r="14" spans="2:24" ht="14.45" customHeight="1" x14ac:dyDescent="0.2">
      <c r="B14" s="85" t="s">
        <v>22</v>
      </c>
      <c r="C14" s="5">
        <f>[1]!AUDNZD</f>
        <v>1.07619</v>
      </c>
      <c r="D14" s="5">
        <f>[2]!AUDNZD</f>
        <v>1.0655300000000001</v>
      </c>
      <c r="E14" s="5">
        <f>[3]!AUDNZD</f>
        <v>1.06802</v>
      </c>
      <c r="F14" s="5">
        <f>[4]!AUDNZD</f>
        <v>1.06812</v>
      </c>
      <c r="G14" s="6">
        <f>(E14-D14)/(C14-D14)</f>
        <v>0.23358348968104189</v>
      </c>
      <c r="H14" s="6">
        <f>(C14-F14)/(C14-D14)</f>
        <v>0.75703564727955941</v>
      </c>
      <c r="I14" s="6">
        <f>1-G14</f>
        <v>0.76641651031895808</v>
      </c>
      <c r="J14" s="7">
        <f>+G14-I14</f>
        <v>-0.53283302063791615</v>
      </c>
      <c r="K14" s="8">
        <f>(F14-E14)*10000</f>
        <v>0.99999999999988987</v>
      </c>
      <c r="L14" s="9">
        <f>(+C14-D14)*10000</f>
        <v>106.59999999999891</v>
      </c>
      <c r="N14" s="85" t="s">
        <v>28</v>
      </c>
      <c r="O14" s="5">
        <f>[1]!NZDCHF</f>
        <v>0.68767999999999996</v>
      </c>
      <c r="P14" s="5">
        <f>[2]!NZDCHF</f>
        <v>0.6835</v>
      </c>
      <c r="Q14" s="5">
        <f>[3]!NZDCHF</f>
        <v>0.68691000000000002</v>
      </c>
      <c r="R14" s="5">
        <f>[4]!NZDCHF</f>
        <v>0.68701999999999996</v>
      </c>
      <c r="S14" s="6">
        <f>(Q14-P14)/(O14-P14)</f>
        <v>0.81578947368422383</v>
      </c>
      <c r="T14" s="6">
        <f>(O14-R14)/(O14-P14)</f>
        <v>0.15789473684210525</v>
      </c>
      <c r="U14" s="6">
        <f>1-S14</f>
        <v>0.18421052631577617</v>
      </c>
      <c r="V14" s="7">
        <f>+S14-U14</f>
        <v>0.63157894736844766</v>
      </c>
      <c r="W14" s="8">
        <f>(R14-Q14)*10000</f>
        <v>1.0999999999994348</v>
      </c>
      <c r="X14" s="9">
        <f>(+O14-P14)*10000</f>
        <v>41.799999999999613</v>
      </c>
    </row>
    <row r="15" spans="2:24" ht="14.45" customHeight="1" x14ac:dyDescent="0.2">
      <c r="B15" s="84" t="s">
        <v>23</v>
      </c>
      <c r="C15" s="12">
        <f>[1]!AUDCAD</f>
        <v>1.00318</v>
      </c>
      <c r="D15" s="12">
        <f>[2]!AUDCAD</f>
        <v>0.99368999999999996</v>
      </c>
      <c r="E15" s="12">
        <f>[3]!AUDCAD</f>
        <v>0.99529000000000001</v>
      </c>
      <c r="F15" s="12">
        <f>[4]!AUDCAD</f>
        <v>0.99541999999999997</v>
      </c>
      <c r="G15" s="13">
        <f>(E15-D15)/(C15-D15)</f>
        <v>0.16859852476291318</v>
      </c>
      <c r="H15" s="13">
        <f>(C15-F15)/(C15-D15)</f>
        <v>0.81770284510010438</v>
      </c>
      <c r="I15" s="13">
        <f>1-G15</f>
        <v>0.83140147523708685</v>
      </c>
      <c r="J15" s="14">
        <f>+G15-I15</f>
        <v>-0.6628029504741737</v>
      </c>
      <c r="K15" s="15">
        <f>(F15-E15)*10000</f>
        <v>1.2999999999996348</v>
      </c>
      <c r="L15" s="16">
        <f>(+C15-D15)*10000</f>
        <v>94.899999999999977</v>
      </c>
      <c r="N15" s="84" t="s">
        <v>29</v>
      </c>
      <c r="O15" s="12">
        <f>[1]!NZDUSD</f>
        <v>0.72624</v>
      </c>
      <c r="P15" s="12">
        <f>[2]!NZDUSD</f>
        <v>0.72121000000000002</v>
      </c>
      <c r="Q15" s="12">
        <f>[3]!NZDUSD</f>
        <v>0.72260000000000002</v>
      </c>
      <c r="R15" s="12">
        <f>[4]!NZDUSD</f>
        <v>0.72267999999999999</v>
      </c>
      <c r="S15" s="13">
        <f>(Q15-P15)/(O15-P15)</f>
        <v>0.27634194831014081</v>
      </c>
      <c r="T15" s="13">
        <f>(O15-R15)/(O15-P15)</f>
        <v>0.70775347912525299</v>
      </c>
      <c r="U15" s="13">
        <f>1-S15</f>
        <v>0.72365805168985919</v>
      </c>
      <c r="V15" s="14">
        <f>+S15-U15</f>
        <v>-0.44731610337971839</v>
      </c>
      <c r="W15" s="15">
        <f>(R15-Q15)*10000</f>
        <v>0.79999999999968985</v>
      </c>
      <c r="X15" s="16">
        <f>(+O15-P15)*10000</f>
        <v>50.299999999999791</v>
      </c>
    </row>
    <row r="16" spans="2:24" ht="14.45" customHeight="1" x14ac:dyDescent="0.2">
      <c r="B16" s="85" t="s">
        <v>24</v>
      </c>
      <c r="C16" s="5">
        <f>[1]!AUDCHF</f>
        <v>0.73792000000000002</v>
      </c>
      <c r="D16" s="5">
        <f>[2]!AUDCHF</f>
        <v>0.72858000000000001</v>
      </c>
      <c r="E16" s="5">
        <f>[3]!AUDCHF</f>
        <v>0.73368999999999995</v>
      </c>
      <c r="F16" s="5">
        <f>[4]!AUDCHF</f>
        <v>0.73377000000000003</v>
      </c>
      <c r="G16" s="6">
        <f>(E16-D16)/(C16-D16)</f>
        <v>0.54710920770877303</v>
      </c>
      <c r="H16" s="6">
        <f>(C16-F16)/(C16-D16)</f>
        <v>0.44432548179871312</v>
      </c>
      <c r="I16" s="6">
        <f>1-G16</f>
        <v>0.45289079229122697</v>
      </c>
      <c r="J16" s="7">
        <f>+G16-I16</f>
        <v>9.4218415417546053E-2</v>
      </c>
      <c r="K16" s="8">
        <f>(F16-E16)*10000</f>
        <v>0.80000000000080007</v>
      </c>
      <c r="L16" s="9">
        <f>(+C16-D16)*10000</f>
        <v>93.400000000000148</v>
      </c>
      <c r="N16" s="85" t="s">
        <v>30</v>
      </c>
      <c r="O16" s="10">
        <f>[1]!NZDJPY</f>
        <v>76.768000000000001</v>
      </c>
      <c r="P16" s="10">
        <f>[2]!NZDJPY</f>
        <v>75.977999999999994</v>
      </c>
      <c r="Q16" s="10">
        <f>[3]!NZDJPY</f>
        <v>76.399000000000001</v>
      </c>
      <c r="R16" s="10">
        <f>[4]!NZDJPY</f>
        <v>76.409000000000006</v>
      </c>
      <c r="S16" s="6">
        <f>(Q16-P16)/(O16-P16)</f>
        <v>0.53291139240506724</v>
      </c>
      <c r="T16" s="6">
        <f>(O16-R16)/(O16-P16)</f>
        <v>0.4544303797468251</v>
      </c>
      <c r="U16" s="6">
        <f>1-S16</f>
        <v>0.46708860759493276</v>
      </c>
      <c r="V16" s="7">
        <f>+S16-U16</f>
        <v>6.5822784810134483E-2</v>
      </c>
      <c r="W16" s="8">
        <f>(R16-Q16)*100</f>
        <v>1.0000000000005116</v>
      </c>
      <c r="X16" s="9">
        <f>(+O16-P16)*100</f>
        <v>79.000000000000625</v>
      </c>
    </row>
    <row r="17" spans="2:24" ht="14.45" customHeight="1" x14ac:dyDescent="0.2">
      <c r="B17" s="84" t="s">
        <v>25</v>
      </c>
      <c r="C17" s="12">
        <f>[1]!AUDUSD</f>
        <v>0.77844999999999998</v>
      </c>
      <c r="D17" s="12">
        <f>[2]!AUDUSD</f>
        <v>0.76868999999999998</v>
      </c>
      <c r="E17" s="12">
        <f>[3]!AUDUSD</f>
        <v>0.77181999999999995</v>
      </c>
      <c r="F17" s="12">
        <f>[4]!AUDUSD</f>
        <v>0.77188000000000001</v>
      </c>
      <c r="G17" s="13">
        <f>(E17-D17)/(C17-D17)</f>
        <v>0.32069672131147225</v>
      </c>
      <c r="H17" s="13">
        <f>(C17-F17)/(C17-D17)</f>
        <v>0.6731557377049151</v>
      </c>
      <c r="I17" s="13">
        <f>1-G17</f>
        <v>0.6793032786885278</v>
      </c>
      <c r="J17" s="14">
        <f>+G17-I17</f>
        <v>-0.35860655737705555</v>
      </c>
      <c r="K17" s="15">
        <f>(F17-E17)*10000</f>
        <v>0.60000000000060005</v>
      </c>
      <c r="L17" s="16">
        <f>(+C17-D17)*10000</f>
        <v>97.599999999999909</v>
      </c>
    </row>
    <row r="18" spans="2:24" ht="14.45" customHeight="1" x14ac:dyDescent="0.2">
      <c r="B18" s="85" t="s">
        <v>26</v>
      </c>
      <c r="C18" s="10">
        <f>[1]!AUDJPY</f>
        <v>82.433000000000007</v>
      </c>
      <c r="D18" s="10">
        <f>[2]!AUDJPY</f>
        <v>80.986000000000004</v>
      </c>
      <c r="E18" s="10">
        <f>[3]!AUDJPY</f>
        <v>81.602000000000004</v>
      </c>
      <c r="F18" s="10">
        <f>[4]!AUDJPY</f>
        <v>81.61</v>
      </c>
      <c r="G18" s="6">
        <f>(E18-D18)/(C18-D18)</f>
        <v>0.4257083621285408</v>
      </c>
      <c r="H18" s="6">
        <f>(C18-F18)/(C18-D18)</f>
        <v>0.56876295784381892</v>
      </c>
      <c r="I18" s="6">
        <f>1-G18</f>
        <v>0.5742916378714592</v>
      </c>
      <c r="J18" s="7">
        <f>+G18-I18</f>
        <v>-0.14858327574291841</v>
      </c>
      <c r="K18" s="8">
        <f>(F18-E18)*100</f>
        <v>0.79999999999955662</v>
      </c>
      <c r="L18" s="9">
        <f>(+C18-D18)*100</f>
        <v>144.70000000000027</v>
      </c>
      <c r="N18" s="86" t="s">
        <v>44</v>
      </c>
    </row>
    <row r="19" spans="2:24" ht="14.45" customHeight="1" x14ac:dyDescent="0.2">
      <c r="N19" s="83" t="s">
        <v>0</v>
      </c>
      <c r="O19" s="2" t="s">
        <v>1</v>
      </c>
      <c r="P19" s="2" t="s">
        <v>2</v>
      </c>
      <c r="Q19" s="2" t="s">
        <v>3</v>
      </c>
      <c r="R19" s="2" t="s">
        <v>4</v>
      </c>
      <c r="S19" s="2" t="s">
        <v>5</v>
      </c>
      <c r="T19" s="2"/>
      <c r="U19" s="2" t="s">
        <v>6</v>
      </c>
      <c r="V19" s="2" t="s">
        <v>37</v>
      </c>
      <c r="W19" s="2" t="s">
        <v>7</v>
      </c>
      <c r="X19" s="3" t="s">
        <v>8</v>
      </c>
    </row>
    <row r="20" spans="2:24" ht="14.45" customHeight="1" x14ac:dyDescent="0.2">
      <c r="B20" s="86" t="s">
        <v>43</v>
      </c>
      <c r="N20" s="84" t="s">
        <v>33</v>
      </c>
      <c r="O20" s="17">
        <f>[1]!CHFJPY</f>
        <v>111.782</v>
      </c>
      <c r="P20" s="17">
        <f>[2]!CHFJPY</f>
        <v>110.922</v>
      </c>
      <c r="Q20" s="17">
        <f>[3]!CHFJPY</f>
        <v>111.214</v>
      </c>
      <c r="R20" s="17">
        <f>[4]!CHFJPY</f>
        <v>111.22499999999999</v>
      </c>
      <c r="S20" s="13">
        <f>(Q20-P20)/(O20-P20)</f>
        <v>0.33953488372093232</v>
      </c>
      <c r="T20" s="13">
        <f>(O20-R20)/(O20-P20)</f>
        <v>0.64767441860465413</v>
      </c>
      <c r="U20" s="13">
        <f>1-S20</f>
        <v>0.66046511627906768</v>
      </c>
      <c r="V20" s="14">
        <f>+S20-U20</f>
        <v>-0.32093023255813535</v>
      </c>
      <c r="W20" s="15">
        <f>(R20-Q20)*100</f>
        <v>1.099999999999568</v>
      </c>
      <c r="X20" s="16">
        <f>(+O20-P20)*100</f>
        <v>85.999999999999943</v>
      </c>
    </row>
    <row r="21" spans="2:24" ht="14.45" customHeight="1" x14ac:dyDescent="0.2">
      <c r="B21" s="83" t="s">
        <v>0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2"/>
      <c r="I21" s="2" t="s">
        <v>6</v>
      </c>
      <c r="J21" s="2" t="s">
        <v>37</v>
      </c>
      <c r="K21" s="2" t="s">
        <v>7</v>
      </c>
      <c r="L21" s="3" t="s">
        <v>8</v>
      </c>
    </row>
    <row r="22" spans="2:24" ht="14.45" customHeight="1" x14ac:dyDescent="0.2">
      <c r="B22" s="84" t="s">
        <v>31</v>
      </c>
      <c r="C22" s="12">
        <f>[1]!CADCHF</f>
        <v>0.73807999999999996</v>
      </c>
      <c r="D22" s="12">
        <f>[2]!CADCHF</f>
        <v>0.73255000000000003</v>
      </c>
      <c r="E22" s="12">
        <f>[3]!CADCHF</f>
        <v>0.73712</v>
      </c>
      <c r="F22" s="12">
        <f>[4]!CADCHF</f>
        <v>0.73721999999999999</v>
      </c>
      <c r="G22" s="13">
        <f>(E22-D22)/(C22-D22)</f>
        <v>0.8264014466546159</v>
      </c>
      <c r="H22" s="13">
        <f>(C22-F22)/(C22-D22)</f>
        <v>0.15551537070524118</v>
      </c>
      <c r="I22" s="13">
        <f>1-G22</f>
        <v>0.1735985533453841</v>
      </c>
      <c r="J22" s="14">
        <f>+G22-I22</f>
        <v>0.6528028933092318</v>
      </c>
      <c r="K22" s="15">
        <f>(F22-E22)*10000</f>
        <v>0.99999999999988987</v>
      </c>
      <c r="L22" s="16">
        <f>(+C22-D22)*10000</f>
        <v>55.299999999999237</v>
      </c>
      <c r="N22" s="86" t="s">
        <v>70</v>
      </c>
    </row>
    <row r="23" spans="2:24" ht="14.45" customHeight="1" x14ac:dyDescent="0.2">
      <c r="B23" s="85" t="s">
        <v>32</v>
      </c>
      <c r="C23" s="10">
        <f>[1]!CADJPY</f>
        <v>82.378</v>
      </c>
      <c r="D23" s="10">
        <f>[2]!CADJPY</f>
        <v>81.409000000000006</v>
      </c>
      <c r="E23" s="10">
        <f>[3]!CADJPY</f>
        <v>81.983999999999995</v>
      </c>
      <c r="F23" s="10">
        <f>[4]!CADJPY</f>
        <v>81.991</v>
      </c>
      <c r="G23" s="6">
        <f>(E23-D23)/(C23-D23)</f>
        <v>0.59339525283796923</v>
      </c>
      <c r="H23" s="6">
        <f>(C23-F23)/(C23-D23)</f>
        <v>0.39938080495356326</v>
      </c>
      <c r="I23" s="6">
        <f>1-G23</f>
        <v>0.40660474716203077</v>
      </c>
      <c r="J23" s="7">
        <f>+G23-I23</f>
        <v>0.18679050567593847</v>
      </c>
      <c r="K23" s="8">
        <f>(F23-E23)*100</f>
        <v>0.70000000000050022</v>
      </c>
      <c r="L23" s="9">
        <f>(+C23-D23)*100</f>
        <v>96.899999999999409</v>
      </c>
      <c r="N23" s="83" t="s">
        <v>0</v>
      </c>
      <c r="O23" s="2" t="s">
        <v>1</v>
      </c>
      <c r="P23" s="2" t="s">
        <v>2</v>
      </c>
      <c r="Q23" s="2" t="s">
        <v>3</v>
      </c>
      <c r="R23" s="2" t="s">
        <v>4</v>
      </c>
      <c r="S23" s="2" t="s">
        <v>5</v>
      </c>
      <c r="T23" s="2"/>
      <c r="U23" s="2" t="s">
        <v>6</v>
      </c>
      <c r="V23" s="2" t="s">
        <v>37</v>
      </c>
      <c r="W23" s="2" t="s">
        <v>7</v>
      </c>
      <c r="X23" s="3" t="s">
        <v>8</v>
      </c>
    </row>
    <row r="24" spans="2:24" ht="14.45" customHeight="1" x14ac:dyDescent="0.2">
      <c r="N24" s="84" t="s">
        <v>15</v>
      </c>
      <c r="O24" s="17">
        <f>[1]!EURJPY</f>
        <v>131.017</v>
      </c>
      <c r="P24" s="17">
        <f>[2]!EURJPY</f>
        <v>129.49799999999999</v>
      </c>
      <c r="Q24" s="17">
        <f>[3]!EURJPY</f>
        <v>130.11799999999999</v>
      </c>
      <c r="R24" s="17">
        <f>[4]!EURJPY</f>
        <v>130.125</v>
      </c>
      <c r="S24" s="13">
        <f t="shared" ref="S24:S25" si="10">(Q24-P24)/(O24-P24)</f>
        <v>0.40816326530612396</v>
      </c>
      <c r="T24" s="13">
        <f t="shared" ref="T24:T25" si="11">(O24-R24)/(O24-P24)</f>
        <v>0.58722843976299721</v>
      </c>
      <c r="U24" s="13">
        <f t="shared" ref="U24:U25" si="12">1-S24</f>
        <v>0.59183673469387599</v>
      </c>
      <c r="V24" s="14">
        <f t="shared" ref="V24:V25" si="13">+S24-U24</f>
        <v>-0.18367346938775203</v>
      </c>
      <c r="W24" s="15">
        <f t="shared" ref="W24:W30" si="14">(R24-Q24)*100</f>
        <v>0.70000000000050022</v>
      </c>
      <c r="X24" s="16">
        <f t="shared" ref="X24:X30" si="15">(+O24-P24)*100</f>
        <v>151.90000000000055</v>
      </c>
    </row>
    <row r="25" spans="2:24" ht="14.45" customHeight="1" x14ac:dyDescent="0.2">
      <c r="B25" s="86" t="s">
        <v>45</v>
      </c>
      <c r="N25" s="84" t="s">
        <v>21</v>
      </c>
      <c r="O25" s="17">
        <f>[1]!GBPJPY</f>
        <v>150.11600000000001</v>
      </c>
      <c r="P25" s="17">
        <f>[2]!GBPJPY</f>
        <v>148.27099999999999</v>
      </c>
      <c r="Q25" s="17">
        <f>[3]!GBPJPY</f>
        <v>149.19</v>
      </c>
      <c r="R25" s="17">
        <f>[4]!GBPJPY</f>
        <v>149.19900000000001</v>
      </c>
      <c r="S25" s="13">
        <f t="shared" si="10"/>
        <v>0.49810298102980899</v>
      </c>
      <c r="T25" s="13">
        <f t="shared" si="11"/>
        <v>0.49701897018969543</v>
      </c>
      <c r="U25" s="13">
        <f t="shared" si="12"/>
        <v>0.50189701897019101</v>
      </c>
      <c r="V25" s="14">
        <f t="shared" si="13"/>
        <v>-3.7940379403820224E-3</v>
      </c>
      <c r="W25" s="15">
        <f t="shared" si="14"/>
        <v>0.90000000000145519</v>
      </c>
      <c r="X25" s="16">
        <f t="shared" si="15"/>
        <v>184.50000000000273</v>
      </c>
    </row>
    <row r="26" spans="2:24" ht="14.45" customHeight="1" x14ac:dyDescent="0.2">
      <c r="B26" s="83" t="s">
        <v>0</v>
      </c>
      <c r="C26" s="2" t="s">
        <v>1</v>
      </c>
      <c r="D26" s="2" t="s">
        <v>2</v>
      </c>
      <c r="E26" s="2" t="s">
        <v>3</v>
      </c>
      <c r="F26" s="2" t="s">
        <v>4</v>
      </c>
      <c r="G26" s="2" t="s">
        <v>5</v>
      </c>
      <c r="H26" s="2"/>
      <c r="I26" s="2" t="s">
        <v>6</v>
      </c>
      <c r="J26" s="2" t="s">
        <v>37</v>
      </c>
      <c r="K26" s="2" t="s">
        <v>7</v>
      </c>
      <c r="L26" s="3" t="s">
        <v>8</v>
      </c>
      <c r="N26" s="85" t="s">
        <v>26</v>
      </c>
      <c r="O26" s="10">
        <f>[1]!AUDJPY</f>
        <v>82.433000000000007</v>
      </c>
      <c r="P26" s="10">
        <f>[2]!AUDJPY</f>
        <v>80.986000000000004</v>
      </c>
      <c r="Q26" s="10">
        <f>[3]!AUDJPY</f>
        <v>81.602000000000004</v>
      </c>
      <c r="R26" s="10">
        <f>[4]!AUDJPY</f>
        <v>81.61</v>
      </c>
      <c r="S26" s="6">
        <f>(Q26-P26)/(O26-P26)</f>
        <v>0.4257083621285408</v>
      </c>
      <c r="T26" s="6">
        <f>(O26-R26)/(O26-P26)</f>
        <v>0.56876295784381892</v>
      </c>
      <c r="U26" s="6">
        <f>1-S26</f>
        <v>0.5742916378714592</v>
      </c>
      <c r="V26" s="7">
        <f>+S26-U26</f>
        <v>-0.14858327574291841</v>
      </c>
      <c r="W26" s="8">
        <f t="shared" si="14"/>
        <v>0.79999999999955662</v>
      </c>
      <c r="X26" s="9">
        <f t="shared" si="15"/>
        <v>144.70000000000027</v>
      </c>
    </row>
    <row r="27" spans="2:24" ht="14.45" customHeight="1" x14ac:dyDescent="0.2">
      <c r="B27" s="85" t="s">
        <v>34</v>
      </c>
      <c r="C27" s="5">
        <f>[1]!USDCAD</f>
        <v>1.29366</v>
      </c>
      <c r="D27" s="5">
        <f>[2]!USDCAD</f>
        <v>1.2829699999999999</v>
      </c>
      <c r="E27" s="5">
        <f>[3]!USDCAD</f>
        <v>1.28962</v>
      </c>
      <c r="F27" s="5">
        <f>[4]!USDCAD</f>
        <v>1.28969</v>
      </c>
      <c r="G27" s="6">
        <f>(E27-D27)/(C27-D27)</f>
        <v>0.62207670720299246</v>
      </c>
      <c r="H27" s="6">
        <f>(C27-F27)/(C27-D27)</f>
        <v>0.37137511693171155</v>
      </c>
      <c r="I27" s="6">
        <f>1-G27</f>
        <v>0.37792329279700754</v>
      </c>
      <c r="J27" s="7">
        <f>+G27-I27</f>
        <v>0.24415341440598493</v>
      </c>
      <c r="K27" s="8">
        <f>(F27-E27)*10000</f>
        <v>0.70000000000014495</v>
      </c>
      <c r="L27" s="9">
        <f>(+C27-D27)*10000</f>
        <v>106.90000000000089</v>
      </c>
      <c r="N27" s="85" t="s">
        <v>30</v>
      </c>
      <c r="O27" s="10">
        <f>[1]!NZDJPY</f>
        <v>76.768000000000001</v>
      </c>
      <c r="P27" s="10">
        <f>[2]!NZDJPY</f>
        <v>75.977999999999994</v>
      </c>
      <c r="Q27" s="10">
        <f>[3]!NZDJPY</f>
        <v>76.399000000000001</v>
      </c>
      <c r="R27" s="10">
        <f>[4]!NZDJPY</f>
        <v>76.409000000000006</v>
      </c>
      <c r="S27" s="6">
        <f>(Q27-P27)/(O27-P27)</f>
        <v>0.53291139240506724</v>
      </c>
      <c r="T27" s="6">
        <f>(O27-R27)/(O27-P27)</f>
        <v>0.4544303797468251</v>
      </c>
      <c r="U27" s="6">
        <f>1-S27</f>
        <v>0.46708860759493276</v>
      </c>
      <c r="V27" s="7">
        <f>+S27-U27</f>
        <v>6.5822784810134483E-2</v>
      </c>
      <c r="W27" s="8">
        <f t="shared" si="14"/>
        <v>1.0000000000005116</v>
      </c>
      <c r="X27" s="9">
        <f t="shared" si="15"/>
        <v>79.000000000000625</v>
      </c>
    </row>
    <row r="28" spans="2:24" ht="14.45" customHeight="1" x14ac:dyDescent="0.2">
      <c r="B28" s="84" t="s">
        <v>35</v>
      </c>
      <c r="C28" s="12">
        <f>[1]!USDCHF</f>
        <v>0.95101000000000002</v>
      </c>
      <c r="D28" s="12">
        <f>[2]!USDCHF</f>
        <v>0.94591999999999998</v>
      </c>
      <c r="E28" s="12">
        <f>[3]!USDCHF</f>
        <v>0.95059000000000005</v>
      </c>
      <c r="F28" s="12">
        <f>[4]!USDCHF</f>
        <v>0.95065999999999995</v>
      </c>
      <c r="G28" s="13">
        <f>(E28-D28)/(C28-D28)</f>
        <v>0.91748526522593854</v>
      </c>
      <c r="H28" s="13">
        <f>(C28-F28)/(C28-D28)</f>
        <v>6.8762278978402716E-2</v>
      </c>
      <c r="I28" s="13">
        <f>1-G28</f>
        <v>8.251473477406146E-2</v>
      </c>
      <c r="J28" s="14">
        <f>+G28-I28</f>
        <v>0.83497053045187708</v>
      </c>
      <c r="K28" s="15">
        <f>(F28-E28)*10000</f>
        <v>0.69999999999903473</v>
      </c>
      <c r="L28" s="16">
        <f>(+C28-D28)*10000</f>
        <v>50.900000000000389</v>
      </c>
      <c r="N28" s="85" t="s">
        <v>32</v>
      </c>
      <c r="O28" s="10">
        <f>[1]!CADJPY</f>
        <v>82.378</v>
      </c>
      <c r="P28" s="10">
        <f>[2]!CADJPY</f>
        <v>81.409000000000006</v>
      </c>
      <c r="Q28" s="10">
        <f>[3]!CADJPY</f>
        <v>81.983999999999995</v>
      </c>
      <c r="R28" s="10">
        <f>[4]!CADJPY</f>
        <v>81.991</v>
      </c>
      <c r="S28" s="6">
        <f>(Q28-P28)/(O28-P28)</f>
        <v>0.59339525283796923</v>
      </c>
      <c r="T28" s="6">
        <f>(O28-R28)/(O28-P28)</f>
        <v>0.39938080495356326</v>
      </c>
      <c r="U28" s="6">
        <f>1-S28</f>
        <v>0.40660474716203077</v>
      </c>
      <c r="V28" s="7">
        <f>+S28-U28</f>
        <v>0.18679050567593847</v>
      </c>
      <c r="W28" s="8">
        <f t="shared" si="14"/>
        <v>0.70000000000050022</v>
      </c>
      <c r="X28" s="9">
        <f t="shared" si="15"/>
        <v>96.899999999999409</v>
      </c>
    </row>
    <row r="29" spans="2:24" ht="14.45" customHeight="1" x14ac:dyDescent="0.2">
      <c r="B29" s="85" t="s">
        <v>36</v>
      </c>
      <c r="C29" s="10">
        <f>[1]!USDJPY</f>
        <v>106.083</v>
      </c>
      <c r="D29" s="10">
        <f>[2]!USDJPY</f>
        <v>105.259</v>
      </c>
      <c r="E29" s="10">
        <f>[3]!USDJPY</f>
        <v>105.726</v>
      </c>
      <c r="F29" s="10">
        <f>[4]!USDJPY</f>
        <v>105.729</v>
      </c>
      <c r="G29" s="6">
        <f>(E29-D29)/(C29-D29)</f>
        <v>0.56674757281553378</v>
      </c>
      <c r="H29" s="6">
        <f>(C29-F29)/(C29-D29)</f>
        <v>0.42961165048543692</v>
      </c>
      <c r="I29" s="6">
        <f>1-G29</f>
        <v>0.43325242718446622</v>
      </c>
      <c r="J29" s="7">
        <f>+G29-I29</f>
        <v>0.13349514563106757</v>
      </c>
      <c r="K29" s="8">
        <f>(F29-E29)*100</f>
        <v>0.30000000000001137</v>
      </c>
      <c r="L29" s="9">
        <f>(+C29-D29)*100</f>
        <v>82.399999999999807</v>
      </c>
      <c r="N29" s="84" t="s">
        <v>33</v>
      </c>
      <c r="O29" s="17">
        <f>[1]!CHFJPY</f>
        <v>111.782</v>
      </c>
      <c r="P29" s="17">
        <f>[2]!CHFJPY</f>
        <v>110.922</v>
      </c>
      <c r="Q29" s="17">
        <f>[3]!CHFJPY</f>
        <v>111.214</v>
      </c>
      <c r="R29" s="17">
        <f>[4]!CHFJPY</f>
        <v>111.22499999999999</v>
      </c>
      <c r="S29" s="13">
        <f>(Q29-P29)/(O29-P29)</f>
        <v>0.33953488372093232</v>
      </c>
      <c r="T29" s="13">
        <f>(O29-R29)/(O29-P29)</f>
        <v>0.64767441860465413</v>
      </c>
      <c r="U29" s="13">
        <f>1-S29</f>
        <v>0.66046511627906768</v>
      </c>
      <c r="V29" s="14">
        <f>+S29-U29</f>
        <v>-0.32093023255813535</v>
      </c>
      <c r="W29" s="15">
        <f t="shared" si="14"/>
        <v>1.099999999999568</v>
      </c>
      <c r="X29" s="16">
        <f t="shared" si="15"/>
        <v>85.999999999999943</v>
      </c>
    </row>
    <row r="30" spans="2:24" ht="14.45" customHeight="1" x14ac:dyDescent="0.2">
      <c r="B30" s="122" t="s">
        <v>75</v>
      </c>
      <c r="C30" s="118" t="s">
        <v>71</v>
      </c>
      <c r="D30" s="119" t="s">
        <v>72</v>
      </c>
      <c r="E30" s="120" t="s">
        <v>73</v>
      </c>
      <c r="F30" s="121" t="s">
        <v>74</v>
      </c>
      <c r="N30" s="85" t="s">
        <v>36</v>
      </c>
      <c r="O30" s="10">
        <f>[1]!USDJPY</f>
        <v>106.083</v>
      </c>
      <c r="P30" s="10">
        <f>[2]!USDJPY</f>
        <v>105.259</v>
      </c>
      <c r="Q30" s="10">
        <f>[3]!USDJPY</f>
        <v>105.726</v>
      </c>
      <c r="R30" s="10">
        <f>[4]!USDJPY</f>
        <v>105.729</v>
      </c>
      <c r="S30" s="6">
        <f>(Q30-P30)/(O30-P30)</f>
        <v>0.56674757281553378</v>
      </c>
      <c r="T30" s="6">
        <f>(O30-R30)/(O30-P30)</f>
        <v>0.42961165048543692</v>
      </c>
      <c r="U30" s="6">
        <f>1-S30</f>
        <v>0.43325242718446622</v>
      </c>
      <c r="V30" s="7">
        <f>+S30-U30</f>
        <v>0.13349514563106757</v>
      </c>
      <c r="W30" s="8">
        <f t="shared" si="14"/>
        <v>0.30000000000001137</v>
      </c>
      <c r="X30" s="9">
        <f t="shared" si="15"/>
        <v>82.399999999999807</v>
      </c>
    </row>
    <row r="31" spans="2:24" ht="14.45" customHeight="1" x14ac:dyDescent="0.2"/>
    <row r="32" spans="2:24" x14ac:dyDescent="0.2">
      <c r="H32" s="117"/>
    </row>
  </sheetData>
  <conditionalFormatting sqref="S4:S9 G14:G18 S13:S16 G22:G23 G27:G29 S20 G4:G11">
    <cfRule type="cellIs" dxfId="54" priority="50" operator="greaterThan">
      <formula>0.8</formula>
    </cfRule>
  </conditionalFormatting>
  <conditionalFormatting sqref="U4:U9 I14:I18 U13:U16 I22:I23 I27:I29 U20 I4:I11">
    <cfRule type="cellIs" dxfId="53" priority="49" operator="greaterThan">
      <formula>0.8</formula>
    </cfRule>
  </conditionalFormatting>
  <conditionalFormatting sqref="X4:X9 L14:L18 X13:X16 L22:L23 L27:L29 X20 L4:L11">
    <cfRule type="cellIs" dxfId="52" priority="48" operator="greaterThan">
      <formula>120</formula>
    </cfRule>
  </conditionalFormatting>
  <conditionalFormatting sqref="J27:J29 V20 J4:J11 J22:J23 V13:V16 J14:J18 V4:V9">
    <cfRule type="iconSet" priority="159">
      <iconSet iconSet="3Arrows">
        <cfvo type="percent" val="0"/>
        <cfvo type="formula" val="0"/>
        <cfvo type="formula" val="0"/>
      </iconSet>
    </cfRule>
    <cfRule type="cellIs" dxfId="51" priority="160" operator="greaterThan">
      <formula>0</formula>
    </cfRule>
    <cfRule type="cellIs" dxfId="50" priority="161" operator="lessThan">
      <formula>0</formula>
    </cfRule>
  </conditionalFormatting>
  <conditionalFormatting sqref="S24">
    <cfRule type="cellIs" dxfId="49" priority="39" operator="greaterThan">
      <formula>0.8</formula>
    </cfRule>
  </conditionalFormatting>
  <conditionalFormatting sqref="U24">
    <cfRule type="cellIs" dxfId="48" priority="38" operator="greaterThan">
      <formula>0.8</formula>
    </cfRule>
  </conditionalFormatting>
  <conditionalFormatting sqref="X24">
    <cfRule type="cellIs" dxfId="47" priority="37" operator="greaterThan">
      <formula>120</formula>
    </cfRule>
  </conditionalFormatting>
  <conditionalFormatting sqref="V24">
    <cfRule type="iconSet" priority="40">
      <iconSet iconSet="3Arrows">
        <cfvo type="percent" val="0"/>
        <cfvo type="formula" val="0"/>
        <cfvo type="formula" val="0"/>
      </iconSet>
    </cfRule>
    <cfRule type="cellIs" dxfId="46" priority="41" operator="greaterThan">
      <formula>0</formula>
    </cfRule>
    <cfRule type="cellIs" dxfId="45" priority="42" operator="lessThan">
      <formula>0</formula>
    </cfRule>
  </conditionalFormatting>
  <conditionalFormatting sqref="S25">
    <cfRule type="aboveAverage" dxfId="44" priority="33"/>
  </conditionalFormatting>
  <conditionalFormatting sqref="U25">
    <cfRule type="cellIs" dxfId="43" priority="32" operator="greaterThan">
      <formula>0.8</formula>
    </cfRule>
  </conditionalFormatting>
  <conditionalFormatting sqref="X25">
    <cfRule type="cellIs" dxfId="42" priority="31" operator="greaterThan">
      <formula>120</formula>
    </cfRule>
  </conditionalFormatting>
  <conditionalFormatting sqref="V25">
    <cfRule type="iconSet" priority="34">
      <iconSet iconSet="3Arrows">
        <cfvo type="percent" val="0"/>
        <cfvo type="formula" val="0"/>
        <cfvo type="formula" val="0"/>
      </iconSet>
    </cfRule>
    <cfRule type="cellIs" dxfId="41" priority="35" operator="greaterThan">
      <formula>0</formula>
    </cfRule>
    <cfRule type="cellIs" dxfId="40" priority="36" operator="lessThan">
      <formula>0</formula>
    </cfRule>
  </conditionalFormatting>
  <conditionalFormatting sqref="S26">
    <cfRule type="cellIs" dxfId="39" priority="27" operator="greaterThan">
      <formula>0.8</formula>
    </cfRule>
  </conditionalFormatting>
  <conditionalFormatting sqref="U26">
    <cfRule type="cellIs" dxfId="38" priority="26" operator="greaterThan">
      <formula>0.8</formula>
    </cfRule>
  </conditionalFormatting>
  <conditionalFormatting sqref="X26">
    <cfRule type="cellIs" dxfId="37" priority="25" operator="greaterThan">
      <formula>120</formula>
    </cfRule>
  </conditionalFormatting>
  <conditionalFormatting sqref="V26">
    <cfRule type="iconSet" priority="28">
      <iconSet iconSet="3Arrows">
        <cfvo type="percent" val="0"/>
        <cfvo type="formula" val="0"/>
        <cfvo type="formula" val="0"/>
      </iconSet>
    </cfRule>
    <cfRule type="cellIs" dxfId="36" priority="29" operator="greaterThan">
      <formula>0</formula>
    </cfRule>
    <cfRule type="cellIs" dxfId="35" priority="30" operator="lessThan">
      <formula>0</formula>
    </cfRule>
  </conditionalFormatting>
  <conditionalFormatting sqref="S27">
    <cfRule type="cellIs" dxfId="34" priority="21" operator="greaterThan">
      <formula>0.8</formula>
    </cfRule>
  </conditionalFormatting>
  <conditionalFormatting sqref="U27">
    <cfRule type="cellIs" dxfId="33" priority="20" operator="greaterThan">
      <formula>0.8</formula>
    </cfRule>
  </conditionalFormatting>
  <conditionalFormatting sqref="X27">
    <cfRule type="cellIs" dxfId="32" priority="19" operator="greaterThan">
      <formula>120</formula>
    </cfRule>
  </conditionalFormatting>
  <conditionalFormatting sqref="V27">
    <cfRule type="iconSet" priority="22">
      <iconSet iconSet="3Arrows">
        <cfvo type="percent" val="0"/>
        <cfvo type="formula" val="0"/>
        <cfvo type="formula" val="0"/>
      </iconSet>
    </cfRule>
    <cfRule type="cellIs" dxfId="31" priority="23" operator="greaterThan">
      <formula>0</formula>
    </cfRule>
    <cfRule type="cellIs" dxfId="30" priority="24" operator="lessThan">
      <formula>0</formula>
    </cfRule>
  </conditionalFormatting>
  <conditionalFormatting sqref="S28">
    <cfRule type="cellIs" dxfId="29" priority="15" operator="greaterThan">
      <formula>0.8</formula>
    </cfRule>
  </conditionalFormatting>
  <conditionalFormatting sqref="U28">
    <cfRule type="cellIs" dxfId="28" priority="14" operator="greaterThan">
      <formula>0.8</formula>
    </cfRule>
  </conditionalFormatting>
  <conditionalFormatting sqref="X28">
    <cfRule type="cellIs" dxfId="27" priority="13" operator="greaterThan">
      <formula>120</formula>
    </cfRule>
  </conditionalFormatting>
  <conditionalFormatting sqref="V28">
    <cfRule type="iconSet" priority="16">
      <iconSet iconSet="3Arrows">
        <cfvo type="percent" val="0"/>
        <cfvo type="formula" val="0"/>
        <cfvo type="formula" val="0"/>
      </iconSet>
    </cfRule>
    <cfRule type="cellIs" dxfId="26" priority="17" operator="greaterThan">
      <formula>0</formula>
    </cfRule>
    <cfRule type="cellIs" dxfId="25" priority="18" operator="lessThan">
      <formula>0</formula>
    </cfRule>
  </conditionalFormatting>
  <conditionalFormatting sqref="S29">
    <cfRule type="cellIs" dxfId="24" priority="9" operator="greaterThan">
      <formula>0.8</formula>
    </cfRule>
  </conditionalFormatting>
  <conditionalFormatting sqref="U29">
    <cfRule type="cellIs" dxfId="23" priority="8" operator="greaterThan">
      <formula>0.8</formula>
    </cfRule>
  </conditionalFormatting>
  <conditionalFormatting sqref="X29">
    <cfRule type="cellIs" dxfId="22" priority="7" operator="greaterThan">
      <formula>120</formula>
    </cfRule>
  </conditionalFormatting>
  <conditionalFormatting sqref="V29">
    <cfRule type="iconSet" priority="10">
      <iconSet iconSet="3Arrows">
        <cfvo type="percent" val="0"/>
        <cfvo type="formula" val="0"/>
        <cfvo type="formula" val="0"/>
      </iconSet>
    </cfRule>
    <cfRule type="cellIs" dxfId="21" priority="11" operator="greaterThan">
      <formula>0</formula>
    </cfRule>
    <cfRule type="cellIs" dxfId="20" priority="12" operator="lessThan">
      <formula>0</formula>
    </cfRule>
  </conditionalFormatting>
  <conditionalFormatting sqref="S30">
    <cfRule type="cellIs" dxfId="19" priority="3" operator="greaterThan">
      <formula>0.8</formula>
    </cfRule>
  </conditionalFormatting>
  <conditionalFormatting sqref="U30">
    <cfRule type="cellIs" dxfId="18" priority="2" operator="greaterThan">
      <formula>0.8</formula>
    </cfRule>
  </conditionalFormatting>
  <conditionalFormatting sqref="X30">
    <cfRule type="cellIs" dxfId="17" priority="1" operator="greaterThan">
      <formula>120</formula>
    </cfRule>
  </conditionalFormatting>
  <conditionalFormatting sqref="V30">
    <cfRule type="iconSet" priority="4">
      <iconSet iconSet="3Arrows">
        <cfvo type="percent" val="0"/>
        <cfvo type="formula" val="0"/>
        <cfvo type="formula" val="0"/>
      </iconSet>
    </cfRule>
    <cfRule type="cellIs" dxfId="16" priority="5" operator="greaterThan">
      <formula>0</formula>
    </cfRule>
    <cfRule type="cellIs" dxfId="15" priority="6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CC33"/>
  </sheetPr>
  <dimension ref="B1:U32"/>
  <sheetViews>
    <sheetView showGridLines="0" showRowColHeaders="0" tabSelected="1" workbookViewId="0">
      <selection activeCell="S5" sqref="S5"/>
    </sheetView>
  </sheetViews>
  <sheetFormatPr defaultRowHeight="12.75" x14ac:dyDescent="0.2"/>
  <cols>
    <col min="1" max="1" width="6.5703125" style="4" customWidth="1"/>
    <col min="2" max="3" width="9.140625" style="4" customWidth="1"/>
    <col min="4" max="9" width="9.140625" style="4"/>
    <col min="10" max="10" width="9.140625" style="4" hidden="1" customWidth="1"/>
    <col min="11" max="13" width="9.140625" style="4"/>
    <col min="14" max="14" width="9.140625" style="4" customWidth="1"/>
    <col min="15" max="17" width="9.140625" style="4"/>
    <col min="18" max="18" width="3.42578125" style="4" customWidth="1"/>
    <col min="19" max="21" width="10.28515625" style="4" customWidth="1"/>
    <col min="22" max="16384" width="9.140625" style="4"/>
  </cols>
  <sheetData>
    <row r="1" spans="2:21" ht="15" customHeight="1" x14ac:dyDescent="0.2"/>
    <row r="2" spans="2:21" ht="15" customHeight="1" x14ac:dyDescent="0.2">
      <c r="B2" s="82" t="s">
        <v>68</v>
      </c>
      <c r="S2" s="99">
        <f ca="1">TODAY()</f>
        <v>43182</v>
      </c>
      <c r="T2" s="99"/>
      <c r="U2" s="99"/>
    </row>
    <row r="3" spans="2:21" ht="16.5" customHeight="1" x14ac:dyDescent="0.2">
      <c r="B3" s="96" t="s">
        <v>56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8"/>
      <c r="N3" s="96" t="s">
        <v>55</v>
      </c>
      <c r="O3" s="97"/>
      <c r="P3" s="97"/>
      <c r="Q3" s="98"/>
      <c r="S3" s="93" t="s">
        <v>67</v>
      </c>
      <c r="T3" s="94"/>
      <c r="U3" s="95"/>
    </row>
    <row r="4" spans="2:21" ht="16.5" customHeight="1" x14ac:dyDescent="0.2">
      <c r="B4" s="23" t="s">
        <v>47</v>
      </c>
      <c r="C4" s="22" t="s">
        <v>65</v>
      </c>
      <c r="D4" s="22" t="s">
        <v>0</v>
      </c>
      <c r="E4" s="22" t="s">
        <v>1</v>
      </c>
      <c r="F4" s="22" t="s">
        <v>2</v>
      </c>
      <c r="G4" s="22" t="s">
        <v>3</v>
      </c>
      <c r="H4" s="22" t="s">
        <v>4</v>
      </c>
      <c r="I4" s="22" t="s">
        <v>5</v>
      </c>
      <c r="J4" s="22"/>
      <c r="K4" s="22" t="s">
        <v>6</v>
      </c>
      <c r="L4" s="22" t="s">
        <v>7</v>
      </c>
      <c r="M4" s="22" t="s">
        <v>8</v>
      </c>
      <c r="N4" s="18" t="s">
        <v>51</v>
      </c>
      <c r="O4" s="18" t="s">
        <v>52</v>
      </c>
      <c r="P4" s="18" t="s">
        <v>53</v>
      </c>
      <c r="Q4" s="18" t="s">
        <v>54</v>
      </c>
      <c r="S4" s="18" t="s">
        <v>52</v>
      </c>
      <c r="T4" s="19" t="s">
        <v>53</v>
      </c>
      <c r="U4" s="19" t="s">
        <v>54</v>
      </c>
    </row>
    <row r="5" spans="2:21" ht="18" customHeight="1" x14ac:dyDescent="0.2">
      <c r="B5" s="24" t="s">
        <v>48</v>
      </c>
      <c r="C5" s="64" t="str">
        <f>IF(AND(N5&gt;0,O5&gt;0,P5&gt;0,Q5&gt;0),"BUY",IF(AND(N5&lt;0,O5&lt;0,P5&lt;0,Q5&lt;0),"SELL ",""))</f>
        <v/>
      </c>
      <c r="D5" s="38" t="s">
        <v>14</v>
      </c>
      <c r="E5" s="39">
        <f>[1]!EURUSD</f>
        <v>1.23881</v>
      </c>
      <c r="F5" s="39">
        <f>[2]!EURUSD</f>
        <v>1.2284999999999999</v>
      </c>
      <c r="G5" s="39">
        <f>[3]!EURUSD</f>
        <v>1.23072</v>
      </c>
      <c r="H5" s="39">
        <f>[4]!EURUSD</f>
        <v>1.2307300000000001</v>
      </c>
      <c r="I5" s="25">
        <f t="shared" ref="I5:I13" si="0">(G5-F5)/(E5-F5)</f>
        <v>0.21532492725510202</v>
      </c>
      <c r="J5" s="25">
        <f t="shared" ref="J5:J13" si="1">(E5-H5)/(E5-F5)</f>
        <v>0.78370514064013896</v>
      </c>
      <c r="K5" s="25">
        <f t="shared" ref="K5:K13" si="2">1-I5</f>
        <v>0.78467507274489801</v>
      </c>
      <c r="L5" s="26">
        <f t="shared" ref="L5:L10" si="3">(H5-G5)*10000</f>
        <v>0.10000000000065512</v>
      </c>
      <c r="M5" s="28">
        <f t="shared" ref="M5:M10" si="4">(+E5-F5)*10000</f>
        <v>103.10000000000042</v>
      </c>
      <c r="N5" s="29">
        <f t="shared" ref="N5:N17" si="5">+I5-K5</f>
        <v>-0.56935014548979601</v>
      </c>
      <c r="O5" s="51">
        <f t="shared" ref="O5:O10" si="6">(+G5-S5)*10000</f>
        <v>-30.999999999998806</v>
      </c>
      <c r="P5" s="51">
        <f t="shared" ref="P5:P10" si="7">(+G5-T5)*10000</f>
        <v>18.299999999999983</v>
      </c>
      <c r="Q5" s="52">
        <f t="shared" ref="Q5:Q10" si="8">(+G5-U5)*10000</f>
        <v>113.49999999999972</v>
      </c>
      <c r="S5" s="58">
        <v>1.2338199999999999</v>
      </c>
      <c r="T5" s="58">
        <v>1.22889</v>
      </c>
      <c r="U5" s="58">
        <v>1.2193700000000001</v>
      </c>
    </row>
    <row r="6" spans="2:21" ht="18" customHeight="1" x14ac:dyDescent="0.2">
      <c r="B6" s="32" t="s">
        <v>48</v>
      </c>
      <c r="C6" s="66" t="str">
        <f t="shared" ref="C6:C17" si="9">IF(AND(N6&gt;0,O6&gt;0,P6&gt;0,Q6&gt;0),"BUY",IF(AND(N6&lt;0,O6&lt;0,P6&lt;0,Q6&lt;0),"SELL ",""))</f>
        <v/>
      </c>
      <c r="D6" s="40" t="s">
        <v>20</v>
      </c>
      <c r="E6" s="41">
        <f>[1]!GBPUSD</f>
        <v>1.4213800000000001</v>
      </c>
      <c r="F6" s="41">
        <f>[2]!GBPUSD</f>
        <v>1.40757</v>
      </c>
      <c r="G6" s="41">
        <f>[3]!GBPUSD</f>
        <v>1.4111</v>
      </c>
      <c r="H6" s="41">
        <f>[4]!GBPUSD</f>
        <v>1.4111499999999999</v>
      </c>
      <c r="I6" s="33">
        <f t="shared" ref="I6:I12" si="10">(G6-F6)/(E6-F6)</f>
        <v>0.25561187545257114</v>
      </c>
      <c r="J6" s="33">
        <f t="shared" ref="J6:J12" si="11">(E6-H6)/(E6-F6)</f>
        <v>0.74076755973932729</v>
      </c>
      <c r="K6" s="33">
        <f t="shared" ref="K6:K12" si="12">1-I6</f>
        <v>0.74438812454742886</v>
      </c>
      <c r="L6" s="34">
        <f t="shared" si="3"/>
        <v>0.49999999999883471</v>
      </c>
      <c r="M6" s="35">
        <f t="shared" si="4"/>
        <v>138.10000000000099</v>
      </c>
      <c r="N6" s="36">
        <f t="shared" si="5"/>
        <v>-0.48877624909485773</v>
      </c>
      <c r="O6" s="53">
        <f t="shared" si="6"/>
        <v>-28.900000000000592</v>
      </c>
      <c r="P6" s="53">
        <f t="shared" si="7"/>
        <v>165.90000000000106</v>
      </c>
      <c r="Q6" s="54">
        <f t="shared" si="8"/>
        <v>352.79999999999978</v>
      </c>
      <c r="S6" s="59">
        <v>1.4139900000000001</v>
      </c>
      <c r="T6" s="59">
        <v>1.3945099999999999</v>
      </c>
      <c r="U6" s="59">
        <v>1.37582</v>
      </c>
    </row>
    <row r="7" spans="2:21" ht="18" customHeight="1" x14ac:dyDescent="0.2">
      <c r="B7" s="24" t="s">
        <v>48</v>
      </c>
      <c r="C7" s="65" t="str">
        <f t="shared" si="9"/>
        <v/>
      </c>
      <c r="D7" s="38" t="s">
        <v>25</v>
      </c>
      <c r="E7" s="39">
        <f>[1]!AUDUSD</f>
        <v>0.77844999999999998</v>
      </c>
      <c r="F7" s="39">
        <f>[2]!AUDUSD</f>
        <v>0.76868999999999998</v>
      </c>
      <c r="G7" s="39">
        <f>[3]!AUDUSD</f>
        <v>0.77181999999999995</v>
      </c>
      <c r="H7" s="39">
        <f>[4]!AUDUSD</f>
        <v>0.77188000000000001</v>
      </c>
      <c r="I7" s="25">
        <f t="shared" si="10"/>
        <v>0.32069672131147225</v>
      </c>
      <c r="J7" s="25">
        <f t="shared" si="11"/>
        <v>0.6731557377049151</v>
      </c>
      <c r="K7" s="25">
        <f t="shared" si="12"/>
        <v>0.6793032786885278</v>
      </c>
      <c r="L7" s="26">
        <f t="shared" si="3"/>
        <v>0.60000000000060005</v>
      </c>
      <c r="M7" s="28">
        <f t="shared" si="4"/>
        <v>97.599999999999909</v>
      </c>
      <c r="N7" s="30">
        <f t="shared" si="5"/>
        <v>-0.35860655737705555</v>
      </c>
      <c r="O7" s="55">
        <f t="shared" si="6"/>
        <v>-46.800000000000175</v>
      </c>
      <c r="P7" s="55">
        <f t="shared" si="7"/>
        <v>8.2999999999999741</v>
      </c>
      <c r="Q7" s="52">
        <f t="shared" si="8"/>
        <v>-42.800000000000615</v>
      </c>
      <c r="S7" s="60">
        <v>0.77649999999999997</v>
      </c>
      <c r="T7" s="60">
        <v>0.77098999999999995</v>
      </c>
      <c r="U7" s="60">
        <v>0.77610000000000001</v>
      </c>
    </row>
    <row r="8" spans="2:21" ht="18" customHeight="1" x14ac:dyDescent="0.2">
      <c r="B8" s="32" t="s">
        <v>48</v>
      </c>
      <c r="C8" s="66" t="str">
        <f t="shared" si="9"/>
        <v/>
      </c>
      <c r="D8" s="40" t="s">
        <v>29</v>
      </c>
      <c r="E8" s="41">
        <f>[1]!NZDUSD</f>
        <v>0.72624</v>
      </c>
      <c r="F8" s="41">
        <f>[2]!NZDUSD</f>
        <v>0.72121000000000002</v>
      </c>
      <c r="G8" s="41">
        <f>[3]!NZDUSD</f>
        <v>0.72260000000000002</v>
      </c>
      <c r="H8" s="41">
        <f>[4]!NZDUSD</f>
        <v>0.72267999999999999</v>
      </c>
      <c r="I8" s="33">
        <f t="shared" si="10"/>
        <v>0.27634194831014081</v>
      </c>
      <c r="J8" s="33">
        <f t="shared" si="11"/>
        <v>0.70775347912525299</v>
      </c>
      <c r="K8" s="33">
        <f t="shared" si="12"/>
        <v>0.72365805168985919</v>
      </c>
      <c r="L8" s="34">
        <f t="shared" si="3"/>
        <v>0.79999999999968985</v>
      </c>
      <c r="M8" s="35">
        <f t="shared" si="4"/>
        <v>50.299999999999791</v>
      </c>
      <c r="N8" s="36">
        <f t="shared" si="5"/>
        <v>-0.44731610337971839</v>
      </c>
      <c r="O8" s="53">
        <f t="shared" si="6"/>
        <v>-2.4000000000001798</v>
      </c>
      <c r="P8" s="53">
        <f t="shared" si="7"/>
        <v>11.100000000000554</v>
      </c>
      <c r="Q8" s="54">
        <f t="shared" si="8"/>
        <v>17.700000000000493</v>
      </c>
      <c r="S8" s="59">
        <v>0.72284000000000004</v>
      </c>
      <c r="T8" s="59">
        <v>0.72148999999999996</v>
      </c>
      <c r="U8" s="59">
        <v>0.72082999999999997</v>
      </c>
    </row>
    <row r="9" spans="2:21" ht="18" customHeight="1" x14ac:dyDescent="0.2">
      <c r="B9" s="27" t="s">
        <v>49</v>
      </c>
      <c r="C9" s="65" t="str">
        <f t="shared" si="9"/>
        <v/>
      </c>
      <c r="D9" s="38" t="s">
        <v>34</v>
      </c>
      <c r="E9" s="39">
        <f>[1]!USDCAD</f>
        <v>1.29366</v>
      </c>
      <c r="F9" s="39">
        <f>[2]!USDCAD</f>
        <v>1.2829699999999999</v>
      </c>
      <c r="G9" s="39">
        <f>[3]!USDCAD</f>
        <v>1.28962</v>
      </c>
      <c r="H9" s="39">
        <f>[4]!USDCAD</f>
        <v>1.28969</v>
      </c>
      <c r="I9" s="25">
        <f t="shared" si="10"/>
        <v>0.62207670720299246</v>
      </c>
      <c r="J9" s="25">
        <f t="shared" si="11"/>
        <v>0.37137511693171155</v>
      </c>
      <c r="K9" s="25">
        <f t="shared" si="12"/>
        <v>0.37792329279700754</v>
      </c>
      <c r="L9" s="26">
        <f t="shared" si="3"/>
        <v>0.70000000000014495</v>
      </c>
      <c r="M9" s="28">
        <f t="shared" si="4"/>
        <v>106.90000000000089</v>
      </c>
      <c r="N9" s="30">
        <f t="shared" si="5"/>
        <v>0.24415341440598493</v>
      </c>
      <c r="O9" s="55">
        <f t="shared" si="6"/>
        <v>-6.0999999999999943</v>
      </c>
      <c r="P9" s="55">
        <f t="shared" si="7"/>
        <v>-200.10000000000082</v>
      </c>
      <c r="Q9" s="52">
        <f t="shared" si="8"/>
        <v>63.500000000000782</v>
      </c>
      <c r="S9" s="60">
        <v>1.29023</v>
      </c>
      <c r="T9" s="60">
        <v>1.3096300000000001</v>
      </c>
      <c r="U9" s="60">
        <v>1.2832699999999999</v>
      </c>
    </row>
    <row r="10" spans="2:21" ht="18" customHeight="1" x14ac:dyDescent="0.2">
      <c r="B10" s="37" t="s">
        <v>49</v>
      </c>
      <c r="C10" s="66" t="str">
        <f t="shared" si="9"/>
        <v/>
      </c>
      <c r="D10" s="40" t="s">
        <v>35</v>
      </c>
      <c r="E10" s="41">
        <f>[1]!USDCHF</f>
        <v>0.95101000000000002</v>
      </c>
      <c r="F10" s="41">
        <f>[2]!USDCHF</f>
        <v>0.94591999999999998</v>
      </c>
      <c r="G10" s="41">
        <f>[3]!USDCHF</f>
        <v>0.95059000000000005</v>
      </c>
      <c r="H10" s="41">
        <f>[4]!USDCHF</f>
        <v>0.95065999999999995</v>
      </c>
      <c r="I10" s="33">
        <f t="shared" si="10"/>
        <v>0.91748526522593854</v>
      </c>
      <c r="J10" s="33">
        <f t="shared" si="11"/>
        <v>6.8762278978402716E-2</v>
      </c>
      <c r="K10" s="33">
        <f t="shared" si="12"/>
        <v>8.251473477406146E-2</v>
      </c>
      <c r="L10" s="34">
        <f t="shared" si="3"/>
        <v>0.69999999999903473</v>
      </c>
      <c r="M10" s="35">
        <f t="shared" si="4"/>
        <v>50.900000000000389</v>
      </c>
      <c r="N10" s="36">
        <f t="shared" si="5"/>
        <v>0.83497053045187708</v>
      </c>
      <c r="O10" s="53">
        <f t="shared" si="6"/>
        <v>13.000000000000789</v>
      </c>
      <c r="P10" s="53">
        <f t="shared" si="7"/>
        <v>-13.599999999999168</v>
      </c>
      <c r="Q10" s="54">
        <f t="shared" si="8"/>
        <v>61.700000000000088</v>
      </c>
      <c r="S10" s="59">
        <v>0.94928999999999997</v>
      </c>
      <c r="T10" s="59">
        <v>0.95194999999999996</v>
      </c>
      <c r="U10" s="59">
        <v>0.94442000000000004</v>
      </c>
    </row>
    <row r="11" spans="2:21" ht="18" customHeight="1" x14ac:dyDescent="0.2">
      <c r="B11" s="27" t="s">
        <v>49</v>
      </c>
      <c r="C11" s="65" t="str">
        <f t="shared" si="9"/>
        <v/>
      </c>
      <c r="D11" s="38" t="s">
        <v>36</v>
      </c>
      <c r="E11" s="42">
        <f>[1]!USDJPY</f>
        <v>106.083</v>
      </c>
      <c r="F11" s="42">
        <f>[2]!USDJPY</f>
        <v>105.259</v>
      </c>
      <c r="G11" s="42">
        <f>[3]!USDJPY</f>
        <v>105.726</v>
      </c>
      <c r="H11" s="42">
        <f>[4]!USDJPY</f>
        <v>105.729</v>
      </c>
      <c r="I11" s="25">
        <f t="shared" si="10"/>
        <v>0.56674757281553378</v>
      </c>
      <c r="J11" s="25">
        <f t="shared" si="11"/>
        <v>0.42961165048543692</v>
      </c>
      <c r="K11" s="25">
        <f t="shared" si="12"/>
        <v>0.43325242718446622</v>
      </c>
      <c r="L11" s="26">
        <f t="shared" ref="L11:L17" si="13">(H11-G11)*100</f>
        <v>0.30000000000001137</v>
      </c>
      <c r="M11" s="28">
        <f t="shared" ref="M11:M17" si="14">(+E11-F11)*100</f>
        <v>82.399999999999807</v>
      </c>
      <c r="N11" s="30">
        <f t="shared" si="5"/>
        <v>0.13349514563106757</v>
      </c>
      <c r="O11" s="56">
        <f t="shared" ref="O11:O17" si="15">(+G11-S11)*100</f>
        <v>-31.700000000000728</v>
      </c>
      <c r="P11" s="56">
        <f t="shared" ref="P11:P17" si="16">(+G11-T11)*100</f>
        <v>-23.399999999999466</v>
      </c>
      <c r="Q11" s="57">
        <f t="shared" ref="Q11:Q17" si="17">(+G11-U11)*100</f>
        <v>-93.999999999999773</v>
      </c>
      <c r="S11" s="61">
        <v>106.04300000000001</v>
      </c>
      <c r="T11" s="61">
        <v>105.96</v>
      </c>
      <c r="U11" s="61">
        <v>106.666</v>
      </c>
    </row>
    <row r="12" spans="2:21" ht="18" customHeight="1" x14ac:dyDescent="0.2">
      <c r="B12" s="37" t="s">
        <v>50</v>
      </c>
      <c r="C12" s="66" t="str">
        <f t="shared" si="9"/>
        <v/>
      </c>
      <c r="D12" s="40" t="s">
        <v>15</v>
      </c>
      <c r="E12" s="43">
        <f>[1]!EURJPY</f>
        <v>131.017</v>
      </c>
      <c r="F12" s="43">
        <f>[2]!EURJPY</f>
        <v>129.49799999999999</v>
      </c>
      <c r="G12" s="43">
        <f>[3]!EURJPY</f>
        <v>130.11799999999999</v>
      </c>
      <c r="H12" s="43">
        <f>[4]!EURJPY</f>
        <v>130.125</v>
      </c>
      <c r="I12" s="33">
        <f t="shared" si="10"/>
        <v>0.40816326530612396</v>
      </c>
      <c r="J12" s="33">
        <f t="shared" si="11"/>
        <v>0.58722843976299721</v>
      </c>
      <c r="K12" s="33">
        <f t="shared" si="12"/>
        <v>0.59183673469387599</v>
      </c>
      <c r="L12" s="34">
        <f t="shared" si="13"/>
        <v>0.70000000000050022</v>
      </c>
      <c r="M12" s="35">
        <f t="shared" si="14"/>
        <v>151.90000000000055</v>
      </c>
      <c r="N12" s="36">
        <f t="shared" si="5"/>
        <v>-0.18367346938775203</v>
      </c>
      <c r="O12" s="53">
        <f t="shared" si="15"/>
        <v>-72.499999999999432</v>
      </c>
      <c r="P12" s="53">
        <f t="shared" si="16"/>
        <v>-9.3999999999994088</v>
      </c>
      <c r="Q12" s="54">
        <f t="shared" si="17"/>
        <v>4.5999999999992269</v>
      </c>
      <c r="S12" s="62">
        <v>130.84299999999999</v>
      </c>
      <c r="T12" s="62">
        <v>130.21199999999999</v>
      </c>
      <c r="U12" s="62">
        <v>130.072</v>
      </c>
    </row>
    <row r="13" spans="2:21" ht="18" customHeight="1" x14ac:dyDescent="0.2">
      <c r="B13" s="27" t="s">
        <v>50</v>
      </c>
      <c r="C13" s="65" t="str">
        <f t="shared" si="9"/>
        <v/>
      </c>
      <c r="D13" s="38" t="s">
        <v>21</v>
      </c>
      <c r="E13" s="42">
        <f>[1]!GBPJPY</f>
        <v>150.11600000000001</v>
      </c>
      <c r="F13" s="42">
        <f>[2]!GBPJPY</f>
        <v>148.27099999999999</v>
      </c>
      <c r="G13" s="42">
        <f>[3]!GBPJPY</f>
        <v>149.19</v>
      </c>
      <c r="H13" s="42">
        <f>[4]!GBPJPY</f>
        <v>149.19900000000001</v>
      </c>
      <c r="I13" s="25">
        <f t="shared" si="0"/>
        <v>0.49810298102980899</v>
      </c>
      <c r="J13" s="25">
        <f t="shared" si="1"/>
        <v>0.49701897018969543</v>
      </c>
      <c r="K13" s="25">
        <f t="shared" si="2"/>
        <v>0.50189701897019101</v>
      </c>
      <c r="L13" s="26">
        <f t="shared" si="13"/>
        <v>0.90000000000145519</v>
      </c>
      <c r="M13" s="28">
        <f t="shared" si="14"/>
        <v>184.50000000000273</v>
      </c>
      <c r="N13" s="30">
        <f t="shared" si="5"/>
        <v>-3.7940379403820224E-3</v>
      </c>
      <c r="O13" s="56">
        <f t="shared" si="15"/>
        <v>-76.699999999999591</v>
      </c>
      <c r="P13" s="56">
        <f t="shared" si="16"/>
        <v>145.69999999999936</v>
      </c>
      <c r="Q13" s="57">
        <f t="shared" si="17"/>
        <v>242.79999999999973</v>
      </c>
      <c r="S13" s="61">
        <v>149.95699999999999</v>
      </c>
      <c r="T13" s="61">
        <v>147.733</v>
      </c>
      <c r="U13" s="61">
        <v>146.762</v>
      </c>
    </row>
    <row r="14" spans="2:21" ht="18" customHeight="1" x14ac:dyDescent="0.2">
      <c r="B14" s="37" t="s">
        <v>50</v>
      </c>
      <c r="C14" s="66" t="str">
        <f t="shared" si="9"/>
        <v xml:space="preserve">SELL </v>
      </c>
      <c r="D14" s="40" t="s">
        <v>26</v>
      </c>
      <c r="E14" s="43">
        <f>[1]!AUDJPY</f>
        <v>82.433000000000007</v>
      </c>
      <c r="F14" s="43">
        <f>[2]!AUDJPY</f>
        <v>80.986000000000004</v>
      </c>
      <c r="G14" s="43">
        <f>[3]!AUDJPY</f>
        <v>81.602000000000004</v>
      </c>
      <c r="H14" s="43">
        <f>[4]!AUDJPY</f>
        <v>81.61</v>
      </c>
      <c r="I14" s="33">
        <f>(G14-F14)/(E14-F14)</f>
        <v>0.4257083621285408</v>
      </c>
      <c r="J14" s="33">
        <f>(E14-H14)/(E14-F14)</f>
        <v>0.56876295784381892</v>
      </c>
      <c r="K14" s="33">
        <f>1-I14</f>
        <v>0.5742916378714592</v>
      </c>
      <c r="L14" s="34">
        <f t="shared" si="13"/>
        <v>0.79999999999955662</v>
      </c>
      <c r="M14" s="35">
        <f t="shared" si="14"/>
        <v>144.70000000000027</v>
      </c>
      <c r="N14" s="36">
        <f t="shared" si="5"/>
        <v>-0.14858327574291841</v>
      </c>
      <c r="O14" s="53">
        <f t="shared" si="15"/>
        <v>-74.499999999999034</v>
      </c>
      <c r="P14" s="53">
        <f t="shared" si="16"/>
        <v>-11.099999999999</v>
      </c>
      <c r="Q14" s="54">
        <f t="shared" si="17"/>
        <v>-118.50000000000023</v>
      </c>
      <c r="S14" s="62">
        <v>82.346999999999994</v>
      </c>
      <c r="T14" s="62">
        <v>81.712999999999994</v>
      </c>
      <c r="U14" s="62">
        <v>82.787000000000006</v>
      </c>
    </row>
    <row r="15" spans="2:21" ht="18" customHeight="1" x14ac:dyDescent="0.2">
      <c r="B15" s="27" t="s">
        <v>50</v>
      </c>
      <c r="C15" s="65" t="str">
        <f t="shared" si="9"/>
        <v/>
      </c>
      <c r="D15" s="38" t="s">
        <v>30</v>
      </c>
      <c r="E15" s="42">
        <f>[1]!NZDJPY</f>
        <v>76.768000000000001</v>
      </c>
      <c r="F15" s="42">
        <f>[2]!NZDJPY</f>
        <v>75.977999999999994</v>
      </c>
      <c r="G15" s="42">
        <f>[3]!NZDJPY</f>
        <v>76.399000000000001</v>
      </c>
      <c r="H15" s="42">
        <f>[4]!NZDJPY</f>
        <v>76.409000000000006</v>
      </c>
      <c r="I15" s="25">
        <f>(G15-F15)/(E15-F15)</f>
        <v>0.53291139240506724</v>
      </c>
      <c r="J15" s="25">
        <f>(E15-H15)/(E15-F15)</f>
        <v>0.4544303797468251</v>
      </c>
      <c r="K15" s="25">
        <f>1-I15</f>
        <v>0.46708860759493276</v>
      </c>
      <c r="L15" s="26">
        <f t="shared" si="13"/>
        <v>1.0000000000005116</v>
      </c>
      <c r="M15" s="28">
        <f t="shared" si="14"/>
        <v>79.000000000000625</v>
      </c>
      <c r="N15" s="30">
        <f t="shared" si="5"/>
        <v>6.5822784810134483E-2</v>
      </c>
      <c r="O15" s="56">
        <f t="shared" si="15"/>
        <v>-24.2999999999995</v>
      </c>
      <c r="P15" s="56">
        <f t="shared" si="16"/>
        <v>-5.5999999999997385</v>
      </c>
      <c r="Q15" s="57">
        <f t="shared" si="17"/>
        <v>-47.700000000000387</v>
      </c>
      <c r="S15" s="61">
        <v>76.641999999999996</v>
      </c>
      <c r="T15" s="61">
        <v>76.454999999999998</v>
      </c>
      <c r="U15" s="61">
        <v>76.876000000000005</v>
      </c>
    </row>
    <row r="16" spans="2:21" ht="18" customHeight="1" x14ac:dyDescent="0.2">
      <c r="B16" s="37" t="s">
        <v>50</v>
      </c>
      <c r="C16" s="66" t="str">
        <f t="shared" si="9"/>
        <v/>
      </c>
      <c r="D16" s="40" t="s">
        <v>32</v>
      </c>
      <c r="E16" s="43">
        <f>[1]!CADJPY</f>
        <v>82.378</v>
      </c>
      <c r="F16" s="43">
        <f>[2]!CADJPY</f>
        <v>81.409000000000006</v>
      </c>
      <c r="G16" s="43">
        <f>[3]!CADJPY</f>
        <v>81.983999999999995</v>
      </c>
      <c r="H16" s="43">
        <f>[4]!CADJPY</f>
        <v>81.991</v>
      </c>
      <c r="I16" s="33">
        <f>(G16-F16)/(E16-F16)</f>
        <v>0.59339525283796923</v>
      </c>
      <c r="J16" s="33">
        <f>(E16-H16)/(E16-F16)</f>
        <v>0.39938080495356326</v>
      </c>
      <c r="K16" s="33">
        <f>1-I16</f>
        <v>0.40660474716203077</v>
      </c>
      <c r="L16" s="34">
        <f t="shared" si="13"/>
        <v>0.70000000000050022</v>
      </c>
      <c r="M16" s="35">
        <f t="shared" si="14"/>
        <v>96.899999999999409</v>
      </c>
      <c r="N16" s="36">
        <f t="shared" si="5"/>
        <v>0.18679050567593847</v>
      </c>
      <c r="O16" s="53">
        <f t="shared" si="15"/>
        <v>-19.400000000000261</v>
      </c>
      <c r="P16" s="53">
        <f t="shared" si="16"/>
        <v>108.89999999999986</v>
      </c>
      <c r="Q16" s="54">
        <f t="shared" si="17"/>
        <v>-113.10000000000002</v>
      </c>
      <c r="S16" s="62">
        <v>82.177999999999997</v>
      </c>
      <c r="T16" s="62">
        <v>80.894999999999996</v>
      </c>
      <c r="U16" s="62">
        <v>83.114999999999995</v>
      </c>
    </row>
    <row r="17" spans="2:21" ht="18" customHeight="1" x14ac:dyDescent="0.2">
      <c r="B17" s="27" t="s">
        <v>50</v>
      </c>
      <c r="C17" s="67" t="str">
        <f t="shared" si="9"/>
        <v xml:space="preserve">SELL </v>
      </c>
      <c r="D17" s="38" t="s">
        <v>33</v>
      </c>
      <c r="E17" s="42">
        <f>[1]!CHFJPY</f>
        <v>111.782</v>
      </c>
      <c r="F17" s="42">
        <f>[2]!CHFJPY</f>
        <v>110.922</v>
      </c>
      <c r="G17" s="42">
        <f>[3]!CHFJPY</f>
        <v>111.214</v>
      </c>
      <c r="H17" s="42">
        <f>[4]!CHFJPY</f>
        <v>111.22499999999999</v>
      </c>
      <c r="I17" s="25">
        <f>(G17-F17)/(E17-F17)</f>
        <v>0.33953488372093232</v>
      </c>
      <c r="J17" s="25">
        <f>(E17-H17)/(E17-F17)</f>
        <v>0.64767441860465413</v>
      </c>
      <c r="K17" s="25">
        <f>1-I17</f>
        <v>0.66046511627906768</v>
      </c>
      <c r="L17" s="26">
        <f t="shared" si="13"/>
        <v>1.099999999999568</v>
      </c>
      <c r="M17" s="28">
        <f t="shared" si="14"/>
        <v>85.999999999999943</v>
      </c>
      <c r="N17" s="30">
        <f t="shared" si="5"/>
        <v>-0.32093023255813535</v>
      </c>
      <c r="O17" s="56">
        <f t="shared" si="15"/>
        <v>-48.600000000000421</v>
      </c>
      <c r="P17" s="56">
        <f t="shared" si="16"/>
        <v>-3.9000000000001478</v>
      </c>
      <c r="Q17" s="57">
        <f t="shared" si="17"/>
        <v>-170.60000000000031</v>
      </c>
      <c r="S17" s="61">
        <v>111.7</v>
      </c>
      <c r="T17" s="61">
        <v>111.253</v>
      </c>
      <c r="U17" s="61">
        <v>112.92</v>
      </c>
    </row>
    <row r="18" spans="2:21" ht="6.75" customHeight="1" thickBot="1" x14ac:dyDescent="0.25">
      <c r="N18" s="20"/>
      <c r="S18" s="31"/>
      <c r="T18" s="31"/>
      <c r="U18" s="31"/>
    </row>
    <row r="19" spans="2:21" ht="14.25" customHeight="1" x14ac:dyDescent="0.2">
      <c r="B19" s="100" t="s">
        <v>57</v>
      </c>
      <c r="C19" s="101"/>
      <c r="D19" s="101"/>
      <c r="E19" s="101"/>
      <c r="F19" s="101"/>
      <c r="G19" s="101"/>
      <c r="H19" s="102"/>
      <c r="I19" s="63"/>
      <c r="J19" s="63"/>
      <c r="K19" s="103" t="s">
        <v>55</v>
      </c>
      <c r="L19" s="104"/>
      <c r="M19" s="104"/>
      <c r="N19" s="105"/>
      <c r="P19" s="106" t="s">
        <v>66</v>
      </c>
      <c r="Q19" s="107"/>
      <c r="R19" s="107"/>
      <c r="S19" s="107"/>
      <c r="T19" s="107"/>
      <c r="U19" s="108" t="s">
        <v>69</v>
      </c>
    </row>
    <row r="20" spans="2:21" ht="16.5" customHeight="1" x14ac:dyDescent="0.2">
      <c r="B20" s="76" t="str">
        <f>+SCANNER!P20</f>
        <v>EUR</v>
      </c>
      <c r="C20" s="73">
        <f>+GROUP!G4</f>
        <v>0.72153635116596948</v>
      </c>
      <c r="D20" s="73">
        <f>+GROUP!G5</f>
        <v>0.54434250764526193</v>
      </c>
      <c r="E20" s="73">
        <f>+GROUP!G6</f>
        <v>0.31239242685026103</v>
      </c>
      <c r="F20" s="73">
        <f>+GROUP!G7</f>
        <v>0.27710843373494071</v>
      </c>
      <c r="G20" s="73">
        <f>+GROUP!G8</f>
        <v>0.65616438356163564</v>
      </c>
      <c r="H20" s="77">
        <f>+GROUP!G9</f>
        <v>0.21532492725510202</v>
      </c>
      <c r="J20" s="21">
        <f>+GROUP!G10</f>
        <v>0.40816326530612396</v>
      </c>
      <c r="K20" s="68" t="str">
        <f>+GROUP!B9</f>
        <v>EURUSD</v>
      </c>
      <c r="L20" s="69">
        <f>+GROUP!J9</f>
        <v>-0.56935014548979601</v>
      </c>
      <c r="M20" s="70" t="str">
        <f>+GROUP!B10</f>
        <v>EURJPY</v>
      </c>
      <c r="N20" s="71">
        <f>+GROUP!J10</f>
        <v>-0.18367346938775203</v>
      </c>
      <c r="P20" s="72" t="s">
        <v>39</v>
      </c>
      <c r="Q20" s="114">
        <f>(+GROUP!G4+GROUP!G5+GROUP!G6+GROUP!G7+GROUP!G8+GROUP!G9+GROUP!G10)/7</f>
        <v>0.44786175650275634</v>
      </c>
      <c r="R20" s="115"/>
      <c r="S20" s="115"/>
      <c r="T20" s="115"/>
      <c r="U20" s="109"/>
    </row>
    <row r="21" spans="2:21" ht="16.5" customHeight="1" x14ac:dyDescent="0.2">
      <c r="B21" s="78" t="s">
        <v>40</v>
      </c>
      <c r="C21" s="74">
        <f>+GROUP!I4</f>
        <v>0.27846364883403052</v>
      </c>
      <c r="D21" s="74">
        <f>+GROUP!S4</f>
        <v>0.48289345063538253</v>
      </c>
      <c r="E21" s="74">
        <f>+GROUP!S5</f>
        <v>0.26028481012656624</v>
      </c>
      <c r="F21" s="74">
        <f>+GROUP!S6</f>
        <v>0.22191272051997457</v>
      </c>
      <c r="G21" s="74">
        <f>+GROUP!S7</f>
        <v>0.61345987920620848</v>
      </c>
      <c r="H21" s="79">
        <f>+GROUP!S8</f>
        <v>0.25561187545257114</v>
      </c>
      <c r="J21" s="21">
        <f>+GROUP!S9</f>
        <v>0.49810298102980899</v>
      </c>
      <c r="K21" s="49" t="str">
        <f>+GROUP!N8</f>
        <v>GBPUSD</v>
      </c>
      <c r="L21" s="44">
        <f>+GROUP!V8</f>
        <v>-0.48877624909485773</v>
      </c>
      <c r="M21" s="50" t="str">
        <f>+GROUP!N9</f>
        <v>GBPJPY</v>
      </c>
      <c r="N21" s="45">
        <f>+GROUP!V9</f>
        <v>-3.7940379403820224E-3</v>
      </c>
      <c r="P21" s="48" t="s">
        <v>40</v>
      </c>
      <c r="Q21" s="114">
        <f>(+GROUP!I4+GROUP!S4+GROUP!S5+GROUP!S6+GROUP!S7+GROUP!S8+GROUP!S9)/7</f>
        <v>0.37296133797207748</v>
      </c>
      <c r="R21" s="115"/>
      <c r="S21" s="115"/>
      <c r="T21" s="115"/>
      <c r="U21" s="109"/>
    </row>
    <row r="22" spans="2:21" ht="16.5" customHeight="1" x14ac:dyDescent="0.2">
      <c r="B22" s="78" t="s">
        <v>41</v>
      </c>
      <c r="C22" s="74">
        <f>+GROUP!I5</f>
        <v>0.45565749235473807</v>
      </c>
      <c r="D22" s="74">
        <f>+GROUP!U4</f>
        <v>0.51710654936461742</v>
      </c>
      <c r="E22" s="74">
        <f>+GROUP!G14</f>
        <v>0.23358348968104189</v>
      </c>
      <c r="F22" s="74">
        <f>+GROUP!G15</f>
        <v>0.16859852476291318</v>
      </c>
      <c r="G22" s="74">
        <f>+GROUP!G16</f>
        <v>0.54710920770877303</v>
      </c>
      <c r="H22" s="79">
        <f>+GROUP!G17</f>
        <v>0.32069672131147225</v>
      </c>
      <c r="J22" s="21">
        <f>+GROUP!G18</f>
        <v>0.4257083621285408</v>
      </c>
      <c r="K22" s="49" t="str">
        <f>+GROUP!B17</f>
        <v>AUDUSD</v>
      </c>
      <c r="L22" s="44">
        <f>+GROUP!J17</f>
        <v>-0.35860655737705555</v>
      </c>
      <c r="M22" s="50" t="str">
        <f>+GROUP!B18</f>
        <v>AUDJPY</v>
      </c>
      <c r="N22" s="45">
        <f>+GROUP!J18</f>
        <v>-0.14858327574291841</v>
      </c>
      <c r="P22" s="48" t="s">
        <v>41</v>
      </c>
      <c r="Q22" s="114">
        <f>(+GROUP!I5+GROUP!U4+GROUP!G14+GROUP!G15+GROUP!G16+GROUP!G17+GROUP!G18)/7</f>
        <v>0.38120862104458519</v>
      </c>
      <c r="R22" s="115"/>
      <c r="S22" s="115"/>
      <c r="T22" s="115"/>
      <c r="U22" s="109"/>
    </row>
    <row r="23" spans="2:21" ht="16.5" customHeight="1" x14ac:dyDescent="0.2">
      <c r="B23" s="78" t="s">
        <v>42</v>
      </c>
      <c r="C23" s="74">
        <f>+GROUP!I6</f>
        <v>0.68760757314973897</v>
      </c>
      <c r="D23" s="74">
        <f>+GROUP!U5</f>
        <v>0.73971518987343376</v>
      </c>
      <c r="E23" s="74">
        <f>+GROUP!I14</f>
        <v>0.76641651031895808</v>
      </c>
      <c r="F23" s="74">
        <f>+GROUP!S13</f>
        <v>0.24944812362032381</v>
      </c>
      <c r="G23" s="74">
        <f>+GROUP!S14</f>
        <v>0.81578947368422383</v>
      </c>
      <c r="H23" s="79">
        <f>+GROUP!S15</f>
        <v>0.27634194831014081</v>
      </c>
      <c r="J23" s="21">
        <f>+GROUP!S16</f>
        <v>0.53291139240506724</v>
      </c>
      <c r="K23" s="49" t="str">
        <f>+GROUP!N15</f>
        <v>NZDUSD</v>
      </c>
      <c r="L23" s="44">
        <f>+GROUP!V15</f>
        <v>-0.44731610337971839</v>
      </c>
      <c r="M23" s="50" t="str">
        <f>+GROUP!N16</f>
        <v>NZDJPY</v>
      </c>
      <c r="N23" s="45">
        <f>+GROUP!V16</f>
        <v>6.5822784810134483E-2</v>
      </c>
      <c r="P23" s="48" t="s">
        <v>42</v>
      </c>
      <c r="Q23" s="114">
        <f>(+GROUP!I6+GROUP!U5+GROUP!I14+GROUP!S13+GROUP!S14+GROUP!S15+GROUP!S16)/7</f>
        <v>0.58117574448026954</v>
      </c>
      <c r="R23" s="115"/>
      <c r="S23" s="115"/>
      <c r="T23" s="115"/>
      <c r="U23" s="109"/>
    </row>
    <row r="24" spans="2:21" ht="16.5" customHeight="1" x14ac:dyDescent="0.2">
      <c r="B24" s="78" t="s">
        <v>43</v>
      </c>
      <c r="C24" s="74">
        <f>+GROUP!I7</f>
        <v>0.72289156626505924</v>
      </c>
      <c r="D24" s="74">
        <f>+GROUP!U6</f>
        <v>0.77808727948002543</v>
      </c>
      <c r="E24" s="74">
        <f>+GROUP!I15</f>
        <v>0.83140147523708685</v>
      </c>
      <c r="F24" s="74">
        <f>+GROUP!U13</f>
        <v>0.75055187637967613</v>
      </c>
      <c r="G24" s="74">
        <f>+GROUP!G22</f>
        <v>0.8264014466546159</v>
      </c>
      <c r="H24" s="79">
        <f>+GROUP!G23</f>
        <v>0.59339525283796923</v>
      </c>
      <c r="J24" s="21">
        <f>+GROUP!I27</f>
        <v>0.37792329279700754</v>
      </c>
      <c r="K24" s="49" t="str">
        <f>+GROUP!B27</f>
        <v>USDCAD</v>
      </c>
      <c r="L24" s="44">
        <f>+GROUP!J27</f>
        <v>0.24415341440598493</v>
      </c>
      <c r="M24" s="50" t="str">
        <f>+GROUP!B23</f>
        <v>CADJPY</v>
      </c>
      <c r="N24" s="45">
        <f>+GROUP!J23</f>
        <v>0.18679050567593847</v>
      </c>
      <c r="P24" s="48" t="s">
        <v>43</v>
      </c>
      <c r="Q24" s="114">
        <f>(+GROUP!I7+GROUP!U6+GROUP!I15+GROUP!U13+GROUP!G22+GROUP!G23+GROUP!I27)/7</f>
        <v>0.69723602709306298</v>
      </c>
      <c r="R24" s="115"/>
      <c r="S24" s="115"/>
      <c r="T24" s="115"/>
      <c r="U24" s="110"/>
    </row>
    <row r="25" spans="2:21" ht="16.5" customHeight="1" x14ac:dyDescent="0.2">
      <c r="B25" s="78" t="s">
        <v>44</v>
      </c>
      <c r="C25" s="74">
        <f>+GROUP!I8</f>
        <v>0.34383561643836436</v>
      </c>
      <c r="D25" s="74">
        <f>+GROUP!U7</f>
        <v>0.38654012079379152</v>
      </c>
      <c r="E25" s="74">
        <f>+GROUP!I16</f>
        <v>0.45289079229122697</v>
      </c>
      <c r="F25" s="74">
        <f>+GROUP!U14</f>
        <v>0.18421052631577617</v>
      </c>
      <c r="G25" s="74">
        <f>+GROUP!I22</f>
        <v>0.1735985533453841</v>
      </c>
      <c r="H25" s="79">
        <f>+GROUP!S20</f>
        <v>0.33953488372093232</v>
      </c>
      <c r="J25" s="21">
        <f>+GROUP!I28</f>
        <v>8.251473477406146E-2</v>
      </c>
      <c r="K25" s="49" t="str">
        <f>+GROUP!B28</f>
        <v>USDCHF</v>
      </c>
      <c r="L25" s="44">
        <f>+GROUP!J28</f>
        <v>0.83497053045187708</v>
      </c>
      <c r="M25" s="50" t="str">
        <f>+GROUP!N20</f>
        <v>CHFJPY</v>
      </c>
      <c r="N25" s="45">
        <f>+GROUP!V20</f>
        <v>-0.32093023255813535</v>
      </c>
      <c r="P25" s="48" t="s">
        <v>44</v>
      </c>
      <c r="Q25" s="114">
        <f>(+GROUP!I8+GROUP!U7+GROUP!I16+GROUP!U14+GROUP!I22+GROUP!S20+GROUP!I28)/7</f>
        <v>0.28044646109707666</v>
      </c>
      <c r="R25" s="115"/>
      <c r="S25" s="115"/>
      <c r="T25" s="115"/>
      <c r="U25" s="111"/>
    </row>
    <row r="26" spans="2:21" ht="16.5" customHeight="1" x14ac:dyDescent="0.2">
      <c r="B26" s="78" t="s">
        <v>46</v>
      </c>
      <c r="C26" s="74">
        <f>+GROUP!I10</f>
        <v>0.59183673469387599</v>
      </c>
      <c r="D26" s="74">
        <f>+GROUP!U9</f>
        <v>0.50189701897019101</v>
      </c>
      <c r="E26" s="74">
        <f>+GROUP!I18</f>
        <v>0.5742916378714592</v>
      </c>
      <c r="F26" s="74">
        <f>+GROUP!U16</f>
        <v>0.46708860759493276</v>
      </c>
      <c r="G26" s="74">
        <f>+GROUP!I23</f>
        <v>0.40660474716203077</v>
      </c>
      <c r="H26" s="79">
        <f>+GROUP!U20</f>
        <v>0.66046511627906768</v>
      </c>
      <c r="J26" s="21">
        <f>+GROUP!I29</f>
        <v>0.43325242718446622</v>
      </c>
      <c r="K26" s="49" t="str">
        <f>+GROUP!B29</f>
        <v>USDJPY</v>
      </c>
      <c r="L26" s="44">
        <f>+GROUP!J29</f>
        <v>0.13349514563106757</v>
      </c>
      <c r="M26" s="50" t="str">
        <f>+GROUP!B29</f>
        <v>USDJPY</v>
      </c>
      <c r="N26" s="45">
        <f>+GROUP!J29</f>
        <v>0.13349514563106757</v>
      </c>
      <c r="P26" s="48" t="s">
        <v>46</v>
      </c>
      <c r="Q26" s="114">
        <f>(+GROUP!I10+GROUP!U9+GROUP!I18+GROUP!U16+GROUP!I23+GROUP!U20+GROUP!I29)/7</f>
        <v>0.5193480413937176</v>
      </c>
      <c r="R26" s="115"/>
      <c r="S26" s="115"/>
      <c r="T26" s="115"/>
      <c r="U26" s="112"/>
    </row>
    <row r="27" spans="2:21" ht="16.5" customHeight="1" thickBot="1" x14ac:dyDescent="0.25">
      <c r="B27" s="80" t="s">
        <v>45</v>
      </c>
      <c r="C27" s="75">
        <f>+GROUP!I9</f>
        <v>0.78467507274489801</v>
      </c>
      <c r="D27" s="75">
        <f>+GROUP!U8</f>
        <v>0.74438812454742886</v>
      </c>
      <c r="E27" s="75">
        <f>+GROUP!I17</f>
        <v>0.6793032786885278</v>
      </c>
      <c r="F27" s="75">
        <f>+GROUP!U15</f>
        <v>0.72365805168985919</v>
      </c>
      <c r="G27" s="75">
        <f>+GROUP!G27</f>
        <v>0.62207670720299246</v>
      </c>
      <c r="H27" s="81">
        <f>+GROUP!G28</f>
        <v>0.91748526522593854</v>
      </c>
      <c r="J27" s="21">
        <f>+GROUP!G29</f>
        <v>0.56674757281553378</v>
      </c>
      <c r="K27" s="46" t="s">
        <v>45</v>
      </c>
      <c r="L27" s="47">
        <f>(+GROUP!I9+GROUP!U8+GROUP!I17+GROUP!U15+GROUP!G27+GROUP!G28+GROUP!G29)/7</f>
        <v>0.71976201041645405</v>
      </c>
      <c r="M27" s="46" t="s">
        <v>46</v>
      </c>
      <c r="N27" s="47">
        <f>(+GROUP!I10+GROUP!U9+GROUP!I18+GROUP!U16+GROUP!I23+GROUP!U20+GROUP!I29)/7</f>
        <v>0.5193480413937176</v>
      </c>
      <c r="P27" s="48" t="s">
        <v>45</v>
      </c>
      <c r="Q27" s="116">
        <f>(+GROUP!I9+GROUP!U8+GROUP!I17+GROUP!U15+GROUP!G27+GROUP!G28+GROUP!G29)/7</f>
        <v>0.71976201041645405</v>
      </c>
      <c r="R27" s="115"/>
      <c r="S27" s="115"/>
      <c r="T27" s="115"/>
      <c r="U27" s="113"/>
    </row>
    <row r="28" spans="2:21" ht="16.5" customHeight="1" x14ac:dyDescent="0.2"/>
    <row r="29" spans="2:21" ht="12.75" customHeight="1" x14ac:dyDescent="0.2"/>
    <row r="30" spans="2:21" ht="12.75" customHeight="1" x14ac:dyDescent="0.2"/>
    <row r="31" spans="2:21" ht="12.75" customHeight="1" x14ac:dyDescent="0.2"/>
    <row r="32" spans="2:21" ht="12.75" customHeight="1" x14ac:dyDescent="0.2"/>
  </sheetData>
  <autoFilter ref="B4:D17"/>
  <mergeCells count="17">
    <mergeCell ref="U25:U27"/>
    <mergeCell ref="Q20:T20"/>
    <mergeCell ref="Q21:T21"/>
    <mergeCell ref="Q22:T22"/>
    <mergeCell ref="Q23:T23"/>
    <mergeCell ref="Q24:T24"/>
    <mergeCell ref="Q25:T25"/>
    <mergeCell ref="Q26:T26"/>
    <mergeCell ref="Q27:T27"/>
    <mergeCell ref="S3:U3"/>
    <mergeCell ref="N3:Q3"/>
    <mergeCell ref="B3:M3"/>
    <mergeCell ref="S2:U2"/>
    <mergeCell ref="B19:H19"/>
    <mergeCell ref="K19:N19"/>
    <mergeCell ref="P19:T19"/>
    <mergeCell ref="U19:U24"/>
  </mergeCells>
  <conditionalFormatting sqref="J20:J27 C20:H27">
    <cfRule type="cellIs" dxfId="14" priority="28" operator="lessThan">
      <formula>0.5</formula>
    </cfRule>
    <cfRule type="cellIs" dxfId="13" priority="29" operator="greaterThan">
      <formula>0.5</formula>
    </cfRule>
  </conditionalFormatting>
  <conditionalFormatting sqref="L20:L26 N20:N26">
    <cfRule type="cellIs" dxfId="12" priority="25" operator="lessThan">
      <formula>0</formula>
    </cfRule>
    <cfRule type="cellIs" dxfId="11" priority="26" operator="greaterThan">
      <formula>0</formula>
    </cfRule>
  </conditionalFormatting>
  <conditionalFormatting sqref="Q20:Q27">
    <cfRule type="cellIs" dxfId="10" priority="107" operator="lessThan">
      <formula>0.5</formula>
    </cfRule>
    <cfRule type="cellIs" dxfId="9" priority="108" operator="greaterThan">
      <formula>0.5</formula>
    </cfRule>
    <cfRule type="dataBar" priority="109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{962C8599-E9C7-4677-A196-D3E549947347}</x14:id>
        </ext>
      </extLst>
    </cfRule>
  </conditionalFormatting>
  <conditionalFormatting sqref="N27 L27">
    <cfRule type="cellIs" dxfId="8" priority="16" operator="lessThan">
      <formula>0.5</formula>
    </cfRule>
    <cfRule type="cellIs" dxfId="7" priority="17" operator="greaterThan">
      <formula>0.5</formula>
    </cfRule>
  </conditionalFormatting>
  <conditionalFormatting sqref="O5:Q17">
    <cfRule type="cellIs" dxfId="6" priority="14" operator="lessThan">
      <formula>0</formula>
    </cfRule>
    <cfRule type="cellIs" dxfId="5" priority="15" operator="greaterThan">
      <formula>0</formula>
    </cfRule>
  </conditionalFormatting>
  <conditionalFormatting sqref="N5:N17">
    <cfRule type="cellIs" dxfId="4" priority="12" operator="lessThan">
      <formula>0</formula>
    </cfRule>
    <cfRule type="cellIs" dxfId="3" priority="13" operator="greaterThan">
      <formula>0</formula>
    </cfRule>
  </conditionalFormatting>
  <conditionalFormatting sqref="M5:M17">
    <cfRule type="cellIs" dxfId="2" priority="3" operator="greaterThan">
      <formula>120</formula>
    </cfRule>
  </conditionalFormatting>
  <conditionalFormatting sqref="C5:C17">
    <cfRule type="containsText" dxfId="1" priority="1" operator="containsText" text="BUY">
      <formula>NOT(ISERROR(SEARCH("BUY",C5)))</formula>
    </cfRule>
    <cfRule type="containsText" dxfId="0" priority="2" operator="containsText" text="SELL">
      <formula>NOT(ISERROR(SEARCH("SELL",C5)))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2C8599-E9C7-4677-A196-D3E549947347}">
            <x14:dataBar minLength="0" maxLength="100" border="1" negativeBarBorderColorSameAsPositive="0">
              <x14:cfvo type="autoMin"/>
              <x14:cfvo type="autoMax"/>
              <x14:borderColor theme="1"/>
              <x14:negativeFillColor rgb="FFFF0000"/>
              <x14:negativeBorderColor rgb="FFFF0000"/>
              <x14:axisColor rgb="FF000000"/>
            </x14:dataBar>
          </x14:cfRule>
          <xm:sqref>Q20:Q27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MT4 SETTING</vt:lpstr>
      <vt:lpstr>GROUP</vt:lpstr>
      <vt:lpstr>SCANNER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2018-01-24T07:57:38Z</dcterms:created>
  <dcterms:modified xsi:type="dcterms:W3CDTF">2018-03-22T17:55:03Z</dcterms:modified>
</cp:coreProperties>
</file>