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hidePivotFieldList="1" defaultThemeVersion="124226"/>
  <bookViews>
    <workbookView xWindow="0" yWindow="60" windowWidth="23040" windowHeight="9330" tabRatio="959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</sheets>
  <functionGroups builtInGroupCount="17"/>
  <definedNames>
    <definedName name="_xlnm._FilterDatabase" localSheetId="10" hidden="1">DetailedStatement!$A$1:$R$1</definedName>
    <definedName name="_xlnm._FilterDatabase" localSheetId="14" hidden="1">StatementMyfxbook!$A$1:$R$1</definedName>
    <definedName name="_xlnm._FilterDatabase" localSheetId="12" hidden="1">StrategyTester!$A$1:$S$10486</definedName>
    <definedName name="_xlnm._FilterDatabase" localSheetId="16" hidden="1">Temp!#REF!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Сетки_StrategyTester!$A$1:$O$8479</definedName>
  </definedNames>
  <calcPr calcId="145621"/>
  <pivotCaches>
    <pivotCache cacheId="0" r:id="rId18"/>
  </pivotCaches>
</workbook>
</file>

<file path=xl/calcChain.xml><?xml version="1.0" encoding="utf-8"?>
<calcChain xmlns="http://schemas.openxmlformats.org/spreadsheetml/2006/main">
  <c r="D1" i="17" l="1"/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AW36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V34" i="10"/>
  <c r="AT39" i="10"/>
  <c r="AT37" i="10"/>
  <c r="AT35" i="10"/>
  <c r="AT33" i="10"/>
  <c r="AT31" i="10"/>
  <c r="AT29" i="10"/>
  <c r="AU38" i="10"/>
  <c r="AU36" i="10"/>
  <c r="AU34" i="10"/>
  <c r="AU32" i="10"/>
  <c r="AU30" i="10"/>
  <c r="D261" i="17" l="1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0" i="17"/>
  <c r="D89" i="17"/>
  <c r="D77" i="17"/>
  <c r="D75" i="17"/>
  <c r="D65" i="17"/>
  <c r="D57" i="17"/>
  <c r="D56" i="17"/>
  <c r="D44" i="17"/>
  <c r="D42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X58" i="15"/>
  <c r="Z58" i="15" s="1"/>
  <c r="X57" i="15"/>
  <c r="Z57" i="15" s="1"/>
  <c r="X56" i="15"/>
  <c r="Z56" i="15" s="1"/>
  <c r="X55" i="15"/>
  <c r="Z55" i="15" s="1"/>
  <c r="X54" i="15"/>
  <c r="Z54" i="15" s="1"/>
  <c r="X53" i="15"/>
  <c r="Z53" i="15" s="1"/>
  <c r="X52" i="15"/>
  <c r="Z52" i="15" s="1"/>
  <c r="X51" i="15"/>
  <c r="Z51" i="15" s="1"/>
  <c r="X50" i="15"/>
  <c r="Z50" i="15" s="1"/>
  <c r="X49" i="15"/>
  <c r="Z49" i="15" s="1"/>
  <c r="X48" i="15"/>
  <c r="Z48" i="15" s="1"/>
  <c r="X47" i="15"/>
  <c r="Z47" i="15" s="1"/>
  <c r="X46" i="15"/>
  <c r="Z46" i="15" s="1"/>
  <c r="X45" i="15"/>
  <c r="Z45" i="15" s="1"/>
  <c r="X44" i="15"/>
  <c r="Z44" i="15" s="1"/>
  <c r="X43" i="15"/>
  <c r="Z43" i="15" s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X30" i="15"/>
  <c r="Z30" i="15" s="1"/>
  <c r="X29" i="15"/>
  <c r="Z29" i="15" s="1"/>
  <c r="X28" i="15"/>
  <c r="Z28" i="15" s="1"/>
  <c r="X27" i="15"/>
  <c r="Z27" i="15" s="1"/>
  <c r="X26" i="15"/>
  <c r="Z26" i="15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86" i="17" l="1"/>
  <c r="D47" i="17"/>
  <c r="D94" i="17"/>
  <c r="D64" i="17"/>
  <c r="D81" i="17"/>
  <c r="D46" i="17"/>
  <c r="D51" i="17"/>
  <c r="D72" i="17"/>
  <c r="D88" i="17"/>
  <c r="D83" i="17"/>
  <c r="D93" i="17"/>
  <c r="D36" i="17"/>
  <c r="D52" i="17"/>
  <c r="D58" i="17"/>
  <c r="D70" i="17"/>
  <c r="D40" i="17"/>
  <c r="D63" i="17"/>
  <c r="D71" i="17"/>
  <c r="D45" i="17"/>
  <c r="D95" i="17"/>
  <c r="D80" i="17"/>
  <c r="D59" i="17"/>
  <c r="D68" i="17"/>
  <c r="D78" i="17"/>
  <c r="D87" i="17"/>
  <c r="D97" i="17"/>
  <c r="D38" i="17"/>
  <c r="D49" i="17"/>
  <c r="D61" i="17"/>
  <c r="D92" i="17"/>
  <c r="D33" i="17"/>
  <c r="D82" i="17"/>
  <c r="D54" i="17"/>
  <c r="D74" i="17"/>
  <c r="D34" i="17"/>
  <c r="D73" i="17"/>
  <c r="D96" i="17"/>
  <c r="D37" i="17"/>
  <c r="D67" i="17"/>
  <c r="D79" i="17"/>
  <c r="D84" i="17"/>
  <c r="D41" i="17"/>
  <c r="D48" i="17"/>
  <c r="D62" i="17"/>
  <c r="D35" i="17"/>
  <c r="D66" i="17"/>
  <c r="D53" i="17"/>
  <c r="D69" i="17"/>
  <c r="D85" i="17"/>
  <c r="D91" i="17"/>
  <c r="D39" i="17"/>
  <c r="D55" i="17"/>
  <c r="D50" i="17"/>
  <c r="D60" i="17"/>
  <c r="Y32" i="15"/>
  <c r="Z32" i="15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AN42" i="10" l="1"/>
  <c r="AM42" i="10"/>
  <c r="AO42" i="10"/>
  <c r="AP42" i="10"/>
  <c r="AQ42" i="10"/>
  <c r="AJ42" i="10"/>
  <c r="AR42" i="10"/>
  <c r="AK42" i="10"/>
  <c r="AL42" i="10"/>
  <c r="AV35" i="10" l="1"/>
  <c r="AW35" i="10"/>
  <c r="AX36" i="10"/>
  <c r="AV36" i="10"/>
  <c r="AX35" i="10"/>
  <c r="AW34" i="10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/>
  <c r="K20" i="10" s="1"/>
  <c r="J21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P20" i="10" l="1"/>
  <c r="O24" i="1"/>
  <c r="O22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P21" i="10" s="1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Q20" i="10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21" i="10"/>
  <c r="O20" i="10"/>
  <c r="M20" i="10" s="1"/>
  <c r="N20" i="10" s="1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L22" i="4"/>
  <c r="P21" i="1"/>
  <c r="P22" i="1" s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H22" i="1" l="1"/>
  <c r="D22" i="5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K22" i="10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Q21" i="10"/>
  <c r="O26" i="1"/>
  <c r="N27" i="1"/>
  <c r="P26" i="1" l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O22" i="10"/>
  <c r="M22" i="10" s="1"/>
  <c r="N22" i="10" s="1"/>
  <c r="W22" i="10"/>
  <c r="AG22" i="10" s="1"/>
  <c r="K23" i="10"/>
  <c r="P23" i="10" l="1"/>
  <c r="Q23" i="10" s="1"/>
  <c r="Z21" i="10"/>
  <c r="AB21" i="10" s="1"/>
  <c r="AC21" i="10" s="1"/>
  <c r="S21" i="10"/>
  <c r="O28" i="1"/>
  <c r="P28" i="1" s="1"/>
  <c r="N29" i="1"/>
  <c r="AF22" i="10"/>
  <c r="C26" i="10"/>
  <c r="X22" i="10"/>
  <c r="O23" i="10"/>
  <c r="M23" i="10" s="1"/>
  <c r="N23" i="10" s="1"/>
  <c r="K24" i="10"/>
  <c r="W23" i="10"/>
  <c r="AG23" i="10" s="1"/>
  <c r="R22" i="10"/>
  <c r="P24" i="10" l="1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T22" i="10"/>
  <c r="U22" i="10" s="1"/>
  <c r="S22" i="10"/>
  <c r="AA22" i="10"/>
  <c r="Z22" i="10"/>
  <c r="AB22" i="10" s="1"/>
  <c r="AC22" i="10" s="1"/>
  <c r="C27" i="10"/>
  <c r="Q24" i="10" l="1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StrategyTester
из тестера стратегий МТ4  и анализ статистики сеток.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Загрузка в эксель файла формата StrategyTester
из тестера стратегий МТ5  и анализ статистики сеток.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 из Истории счета МТ4 и анализ статистики сеток.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
из MyFxBook и анализ статистики сеток.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4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<sst xmlns="http://schemas.openxmlformats.org/spreadsheetml/2006/main" count="1108" uniqueCount="704">
  <si>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</si>
  <si>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</si>
  <si>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</si>
  <si>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</si>
  <si>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</si>
  <si>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</si>
  <si>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</si>
  <si>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</si>
  <si>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</si>
  <si>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</si>
  <si>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</si>
  <si>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</si>
  <si>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</si>
  <si>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</si>
  <si>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</si>
  <si>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</si>
  <si>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</si>
  <si>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</si>
  <si>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</si>
  <si>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</si>
  <si>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</si>
  <si>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</si>
  <si>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</si>
  <si>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</si>
  <si>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</si>
  <si>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</si>
  <si>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</si>
  <si>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</si>
  <si>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</si>
  <si>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</si>
  <si>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</si>
  <si>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</si>
  <si>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</si>
  <si>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</si>
  <si>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</si>
  <si>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</si>
  <si>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</si>
  <si>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</si>
  <si>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</si>
  <si>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</si>
  <si>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</si>
  <si>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</si>
  <si>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</si>
  <si>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</si>
  <si>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</si>
  <si>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</si>
  <si>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</si>
  <si>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</si>
  <si>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</si>
  <si>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</si>
  <si>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</si>
  <si>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</si>
  <si>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</si>
  <si>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</si>
  <si>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</si>
  <si>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</si>
  <si>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</si>
  <si>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</si>
  <si>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</si>
  <si>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</si>
  <si>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</si>
  <si>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</si>
  <si>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</si>
  <si>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</si>
  <si>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</si>
  <si>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</si>
  <si>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</si>
  <si>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</si>
  <si>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</si>
  <si>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</si>
  <si>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</si>
  <si>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</si>
  <si>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</si>
  <si>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</si>
  <si>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</si>
  <si>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</si>
  <si>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</si>
  <si>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</si>
  <si>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</si>
  <si>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</si>
  <si>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</si>
  <si>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</si>
  <si>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</si>
  <si>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</si>
  <si>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</si>
  <si>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</si>
  <si>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</si>
  <si>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</si>
  <si>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</si>
  <si>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</si>
  <si>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</si>
  <si>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</si>
  <si>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</si>
  <si>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</si>
  <si>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</si>
  <si>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</si>
  <si>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</si>
  <si>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</si>
  <si>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</si>
  <si>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</si>
  <si>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</si>
  <si>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</si>
  <si>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</si>
  <si>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</si>
  <si>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</si>
  <si>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</si>
  <si>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</si>
  <si>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</si>
  <si>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</si>
  <si>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</si>
  <si>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</si>
  <si>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</si>
  <si>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</si>
  <si>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</si>
  <si>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</si>
  <si>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</si>
  <si>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</si>
  <si>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</si>
  <si>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</si>
  <si>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</si>
  <si>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</si>
  <si>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</si>
  <si>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</si>
  <si>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</si>
  <si>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</si>
  <si>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</si>
  <si>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</si>
  <si>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</si>
  <si>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</si>
  <si>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</si>
  <si>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</si>
  <si>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</si>
  <si>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</si>
  <si>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</si>
  <si>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</si>
  <si>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</si>
  <si>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</si>
  <si>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</si>
  <si>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</si>
  <si>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</si>
  <si>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</si>
  <si>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</si>
  <si>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</si>
  <si>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</si>
  <si>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</si>
  <si>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</si>
  <si>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</si>
  <si>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</si>
  <si>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</si>
  <si>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</si>
  <si>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</si>
  <si>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</si>
  <si>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</si>
  <si>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</si>
  <si>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</si>
  <si>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</si>
  <si>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</si>
  <si>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</si>
  <si>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</si>
  <si>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</si>
  <si>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</si>
  <si>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</si>
  <si>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</si>
  <si>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</si>
  <si>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</si>
  <si>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</si>
  <si>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</si>
  <si>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</si>
  <si>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</si>
  <si>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</si>
  <si>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</si>
  <si>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</si>
  <si>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</si>
  <si>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</si>
  <si>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</si>
  <si>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</si>
  <si>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</si>
  <si>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</si>
  <si>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</si>
  <si>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</si>
  <si>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</si>
  <si>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</si>
  <si>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</si>
  <si>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</si>
  <si>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</si>
  <si>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</si>
  <si>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</si>
  <si>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</si>
  <si>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</si>
  <si>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</si>
  <si>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</si>
  <si>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</si>
  <si>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</si>
  <si>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</si>
  <si>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</si>
  <si>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</si>
  <si>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</si>
  <si>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</si>
  <si>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</si>
  <si>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</si>
  <si>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</si>
  <si>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</si>
  <si>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</si>
  <si>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</si>
  <si>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</si>
  <si>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</si>
  <si>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</si>
  <si>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</si>
  <si>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</si>
  <si>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</si>
  <si>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</si>
  <si>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</si>
  <si>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</si>
  <si>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</si>
  <si>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</si>
  <si>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</si>
  <si>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</si>
  <si>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</si>
  <si>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</si>
  <si>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</si>
  <si>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</si>
  <si>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</si>
  <si>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</si>
  <si>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</si>
  <si>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</si>
  <si>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</si>
  <si>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</si>
  <si>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</si>
  <si>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</si>
  <si>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</si>
  <si>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</si>
  <si>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</si>
  <si>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</si>
  <si>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</si>
  <si>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</si>
  <si>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</si>
  <si>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</si>
  <si>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</si>
  <si>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</si>
  <si>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</si>
  <si>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</si>
  <si>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</si>
  <si>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</si>
  <si>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</si>
  <si>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</si>
  <si>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</si>
  <si>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</si>
  <si>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</si>
  <si>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</si>
  <si>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</si>
  <si>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</si>
  <si>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</si>
  <si>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</si>
  <si>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</si>
  <si>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</si>
  <si>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</si>
  <si>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</si>
  <si>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</si>
  <si>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</si>
  <si>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</si>
  <si>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</si>
  <si>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</si>
  <si>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</si>
  <si>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</si>
  <si>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</si>
  <si>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</si>
  <si>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</si>
  <si>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</si>
  <si>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</si>
  <si>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</si>
  <si>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</si>
  <si>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</si>
  <si>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</si>
  <si>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</si>
  <si>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</si>
  <si>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</si>
  <si>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</si>
  <si>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</si>
  <si>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</si>
  <si>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</si>
  <si>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</si>
  <si>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</si>
  <si>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</si>
  <si>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</si>
  <si>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</si>
  <si>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</si>
  <si>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</si>
  <si>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</si>
  <si>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</si>
  <si>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</si>
  <si>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</si>
  <si>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</si>
  <si>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</si>
  <si>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</si>
  <si>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</si>
  <si>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</si>
  <si>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</si>
  <si>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</si>
  <si>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</si>
  <si>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</si>
  <si>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</si>
  <si>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</si>
  <si>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</si>
  <si>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</si>
  <si>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</si>
  <si>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</si>
  <si>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</si>
  <si>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</si>
  <si>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</si>
  <si>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</si>
  <si>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</si>
  <si>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</si>
  <si>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</si>
  <si>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</si>
  <si>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</si>
  <si>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</si>
  <si>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</si>
  <si>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</si>
  <si>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</si>
  <si>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</si>
  <si>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</si>
  <si>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</si>
  <si>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</si>
  <si>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</si>
  <si>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</si>
  <si>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</si>
  <si>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</si>
  <si>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</si>
  <si>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</si>
  <si>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</si>
  <si>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</si>
  <si>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</si>
  <si>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</si>
  <si>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</si>
  <si>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</si>
  <si>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</si>
  <si>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</si>
  <si>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</si>
  <si>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</si>
  <si>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</si>
  <si>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</si>
  <si>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</si>
  <si>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</si>
  <si>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</si>
  <si>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</si>
  <si>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</si>
  <si>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</si>
  <si>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</si>
  <si>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</si>
  <si>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</si>
  <si>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</si>
  <si>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</si>
  <si>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</si>
  <si>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</si>
  <si>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</si>
  <si>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</si>
  <si>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</si>
  <si>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</si>
  <si>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</si>
  <si>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</si>
  <si>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</si>
  <si>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</si>
  <si>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</si>
  <si>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</si>
  <si>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</si>
  <si>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</si>
  <si>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</si>
  <si>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</si>
  <si>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</si>
  <si>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</si>
  <si>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</si>
  <si>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</si>
  <si>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</si>
  <si>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</si>
  <si>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</si>
  <si>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</si>
  <si>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</si>
  <si>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</si>
  <si>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</si>
  <si>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</si>
  <si>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</si>
  <si>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</si>
  <si>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</si>
  <si>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</si>
  <si>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</si>
  <si>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</si>
  <si>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</si>
  <si>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</si>
  <si>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</si>
  <si>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</si>
  <si>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</si>
  <si>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</si>
  <si>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</si>
  <si>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</si>
  <si>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</si>
  <si>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</si>
  <si>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</si>
  <si>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</si>
  <si>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</si>
  <si>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</si>
  <si>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</si>
  <si>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</si>
  <si>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</si>
  <si>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</si>
  <si>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</si>
  <si>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</si>
  <si>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</si>
  <si>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</si>
  <si>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</si>
  <si>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S_PauseOnClose=0</t>
  </si>
  <si>
    <t>B_PauseOnClose=0</t>
  </si>
  <si>
    <t>MagicNumber=1110</t>
  </si>
  <si>
    <t>AddComment=</t>
  </si>
  <si>
    <t>filters_part_1_43_1010_11_29_22_04_2017=Фильтры спрэда и одновременно торгуемых пар и валют</t>
  </si>
  <si>
    <t>MaxSpread=5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</si>
  <si>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</si>
  <si>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</si>
  <si>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</si>
  <si>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</si>
  <si>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</si>
  <si>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</si>
  <si>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</si>
  <si>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</si>
  <si>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</si>
  <si>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</si>
  <si>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</si>
  <si>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</si>
  <si>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</si>
  <si>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</si>
  <si>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sell_step_settings_1_43_1010_11_29_22_04_2017=SELL сетки - настройки шагов количества колен и длины</t>
  </si>
  <si>
    <t>S_GridStep=20</t>
  </si>
  <si>
    <t>sell_lot_settings_1_43_1010_11_29_22_04_2017=SELL сетки - min ордер и множители лота всех колен</t>
  </si>
  <si>
    <t>S_CalcLotType=0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</si>
  <si>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</si>
  <si>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</si>
  <si>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</si>
  <si>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</si>
  <si>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</si>
  <si>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</si>
  <si>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B_GridLevel=3</t>
  </si>
  <si>
    <t>B_GridStep_AddPips=1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</si>
  <si>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</si>
  <si>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</si>
  <si>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</si>
  <si>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</si>
  <si>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B_MultLevel3=8</t>
  </si>
  <si>
    <t>B_Mult3=11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</si>
  <si>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</si>
  <si>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</si>
  <si>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</si>
  <si>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B_TakeProffit_Level1Corr=1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</si>
  <si>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</si>
  <si>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</si>
  <si>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</si>
  <si>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</si>
  <si>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</si>
  <si>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gap_settings_1_43_1010_11_29_22_04_2017=Настройки блока выявления и обработки гэпов</t>
  </si>
  <si>
    <t>GapControl=2</t>
  </si>
  <si>
    <t>S_GapMinPercent=0</t>
  </si>
  <si>
    <t>B_GapMinPercent=0</t>
  </si>
  <si>
    <t>vol_filter_settings_1_43_1010_11_29_22_04_2017=Фильтр - Запрет открывать ордера если импульс</t>
  </si>
  <si>
    <t>VolCandleTF=1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</si>
  <si>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</si>
  <si>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</si>
  <si>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</si>
  <si>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</si>
  <si>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</si>
  <si>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</si>
  <si>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</si>
  <si>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</si>
  <si>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</si>
  <si>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</si>
  <si>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</si>
  <si>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</si>
  <si>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</si>
  <si>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</si>
  <si>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</si>
  <si>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</si>
  <si>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</si>
  <si>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</si>
  <si>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</si>
  <si>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</si>
  <si>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</si>
  <si>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</si>
  <si>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</si>
  <si>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</si>
  <si>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</si>
  <si>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</si>
  <si>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</si>
  <si>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</si>
  <si>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</si>
  <si>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</si>
  <si>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</si>
  <si>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</si>
  <si>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</si>
  <si>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</si>
  <si>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</si>
  <si>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</si>
  <si>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</si>
  <si>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</si>
  <si>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</si>
  <si>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</si>
  <si>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</si>
  <si>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</si>
  <si>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</si>
  <si>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</si>
  <si>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</si>
  <si>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</si>
  <si>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</si>
  <si>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</si>
  <si>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</si>
  <si>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</si>
  <si>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</si>
  <si>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</si>
  <si>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</si>
  <si>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</si>
  <si>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</si>
  <si>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</si>
  <si>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</si>
  <si>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</si>
  <si>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</si>
  <si>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</si>
  <si>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</si>
  <si>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</si>
  <si>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</si>
  <si>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</si>
  <si>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</si>
  <si>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</si>
  <si>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</si>
  <si>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</si>
  <si>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</si>
  <si>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</si>
  <si>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</si>
  <si>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</si>
  <si>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</si>
  <si>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</si>
  <si>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</si>
  <si>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</si>
  <si>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</si>
  <si>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</si>
  <si>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</si>
  <si>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</si>
  <si>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</si>
  <si>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</si>
  <si>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</si>
  <si>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</si>
  <si>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</si>
  <si>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</si>
  <si>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</si>
  <si>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</si>
  <si>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</si>
  <si>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</si>
  <si>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</si>
  <si>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</si>
  <si>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</si>
  <si>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</si>
  <si>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</si>
  <si>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</si>
  <si>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</si>
  <si>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</si>
  <si>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</si>
  <si>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</si>
  <si>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</si>
  <si>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</si>
  <si>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</si>
  <si>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</si>
  <si>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</si>
  <si>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</si>
  <si>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</si>
  <si>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</si>
  <si>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</si>
  <si>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</si>
  <si>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</si>
  <si>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</si>
  <si>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</si>
  <si>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</si>
  <si>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</si>
  <si>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</si>
  <si>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</si>
  <si>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</si>
  <si>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</si>
  <si>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</si>
  <si>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</si>
  <si>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</si>
  <si>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</si>
  <si>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</si>
  <si>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</si>
  <si>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</si>
  <si>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</si>
  <si>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</si>
  <si>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</si>
  <si>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</si>
  <si>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</si>
  <si>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</si>
  <si>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</si>
  <si>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</si>
  <si>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</si>
  <si>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</si>
  <si>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</si>
  <si>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</si>
  <si>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</si>
  <si>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</si>
  <si>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</si>
  <si>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</si>
  <si>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B_MinLot=0.01</t>
  </si>
  <si>
    <t>B_MultCorr=0.01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</si>
  <si>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</si>
  <si>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</si>
  <si>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</si>
  <si>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</si>
  <si>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</si>
  <si>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</si>
  <si>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</si>
  <si>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</si>
  <si>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</si>
  <si>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</si>
  <si>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</si>
  <si>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</si>
  <si>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</si>
  <si>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</si>
  <si>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</si>
  <si>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</si>
  <si>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</si>
  <si>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</si>
  <si>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</si>
  <si>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</si>
  <si>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</si>
  <si>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</si>
  <si>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</si>
  <si>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</si>
  <si>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</si>
  <si>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</si>
  <si>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</si>
  <si>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</si>
  <si>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</si>
  <si>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</si>
  <si>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</si>
  <si>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</si>
  <si>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</si>
  <si>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</si>
  <si>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</si>
  <si>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</si>
  <si>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</si>
  <si>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</si>
  <si>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</si>
  <si>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</si>
  <si>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</si>
  <si>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ReflectSellSettingsToBuy=1</t>
  </si>
  <si>
    <t>MaxSpreadStopTradingTimining=30</t>
  </si>
  <si>
    <t>CloseAllOrders_ByDrawdownMoney=0</t>
  </si>
  <si>
    <t>CloseAllOrders_ByDrawdown_StopTrade=0</t>
  </si>
  <si>
    <t>S_MaxOpenOrders=15</t>
  </si>
  <si>
    <t>S_GridLevel=0</t>
  </si>
  <si>
    <t>S_GridStep_AddPips=0</t>
  </si>
  <si>
    <t>S_GridStep_Level2=0</t>
  </si>
  <si>
    <t>S_GridStep_Level2_AddPips=0</t>
  </si>
  <si>
    <t>S_Grid3=0</t>
  </si>
  <si>
    <t>S_Grid3Add=0</t>
  </si>
  <si>
    <t>S_GridStop=0</t>
  </si>
  <si>
    <t>S_CurrencyForMinLot=1000</t>
  </si>
  <si>
    <t>S_Mult=5</t>
  </si>
  <si>
    <t>S_MultStart=8</t>
  </si>
  <si>
    <t>S_MultLevel2=0</t>
  </si>
  <si>
    <t>S_MultCorr=0</t>
  </si>
  <si>
    <t>S_MultLevel3=0</t>
  </si>
  <si>
    <t>S_MultСorrLevel3=0</t>
  </si>
  <si>
    <t>S_Mult3=0</t>
  </si>
  <si>
    <t>S_Mult3Add=0</t>
  </si>
  <si>
    <t>S_MultStop=0</t>
  </si>
  <si>
    <t>S_TakeProffit=2</t>
  </si>
  <si>
    <t>S_TakeProffit_Level1=5</t>
  </si>
  <si>
    <t>S_TakeProffit_Level1Corr=0</t>
  </si>
  <si>
    <t>S_TakeProffit_Level1_5=0</t>
  </si>
  <si>
    <t>S_TakeProffit_Level1_5Corr=0</t>
  </si>
  <si>
    <t>B_MaxOpenOrders=15</t>
  </si>
  <si>
    <t>B_GridStep=8</t>
  </si>
  <si>
    <t>B_GridStep_Level2=10</t>
  </si>
  <si>
    <t>B_GridStep_Level2_AddPips=7</t>
  </si>
  <si>
    <t>B_Grid3=0</t>
  </si>
  <si>
    <t>B_Grid3Add=0</t>
  </si>
  <si>
    <t>B_GridStop=0</t>
  </si>
  <si>
    <t>B_Mult=1.5</t>
  </si>
  <si>
    <t>B_MultLevel2=5</t>
  </si>
  <si>
    <t>B_MultСorrLevel3=0.02</t>
  </si>
  <si>
    <t>B_Mult3Add=0.03</t>
  </si>
  <si>
    <t>B_MultStop=0</t>
  </si>
  <si>
    <t>B_TakeProffit=4</t>
  </si>
  <si>
    <t>B_TakeProffit_Level1=4</t>
  </si>
  <si>
    <t>B_TakeProffit_Level1_5=12</t>
  </si>
  <si>
    <t>CandlesToOpen1Order=0</t>
  </si>
  <si>
    <t>CandlesToOpen1Order_OpenClose=0</t>
  </si>
  <si>
    <t>CandlesToOpen1Order_MinPips=0</t>
  </si>
  <si>
    <t>CandlesToOpen1Order_MaxPips=0</t>
  </si>
  <si>
    <t>ReversSignalToOpen1Order=1</t>
  </si>
  <si>
    <t>GapMaxStopOrders=0</t>
  </si>
  <si>
    <t>GapMinDistanceFromMarket=0</t>
  </si>
  <si>
    <t>S_GapMinPips=0</t>
  </si>
  <si>
    <t>S_GapLotKoef=0</t>
  </si>
  <si>
    <t>S_GapLastOrderKoef=0</t>
  </si>
  <si>
    <t>B_GapMinPips=0</t>
  </si>
  <si>
    <t>B_GapLotKoef=0</t>
  </si>
  <si>
    <t>B_GapLastOrderKoef=0</t>
  </si>
  <si>
    <t>VolCandleMaxSize=0</t>
  </si>
  <si>
    <t>VolStopTradeTimining=0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</si>
</sst>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8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2" fillId="0" borderId="0"/>
  </cellStyleXfs>
  <cellXfs count="510">
    <xf numFmtId="0" fontId="0" fillId="0" borderId="0" xfId="0"/>
    <xf numFmtId="2" fontId="11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Protection="1"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0" applyNumberFormat="1" applyFont="1" applyAlignment="1" applyProtection="1">
      <alignment horizontal="center"/>
      <protection locked="0"/>
    </xf>
    <xf numFmtId="167" fontId="5" fillId="0" borderId="1" xfId="0" applyNumberFormat="1" applyFont="1" applyFill="1" applyBorder="1" applyAlignment="1" applyProtection="1">
      <alignment horizontal="center" vertical="center"/>
    </xf>
    <xf numFmtId="2" fontId="5" fillId="0" borderId="2" xfId="0" applyNumberFormat="1" applyFont="1" applyBorder="1" applyAlignment="1" applyProtection="1">
      <alignment horizontal="center"/>
    </xf>
    <xf numFmtId="2" fontId="5" fillId="2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Border="1" applyAlignment="1" applyProtection="1">
      <alignment horizontal="center"/>
    </xf>
    <xf numFmtId="2" fontId="5" fillId="3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Fill="1" applyBorder="1" applyAlignment="1" applyProtection="1">
      <alignment horizont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/>
    </xf>
    <xf numFmtId="2" fontId="5" fillId="2" borderId="2" xfId="0" applyNumberFormat="1" applyFont="1" applyFill="1" applyBorder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center"/>
    </xf>
    <xf numFmtId="167" fontId="5" fillId="0" borderId="6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/>
    </xf>
    <xf numFmtId="2" fontId="5" fillId="2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Border="1" applyAlignment="1" applyProtection="1">
      <alignment horizontal="center"/>
    </xf>
    <xf numFmtId="2" fontId="5" fillId="3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Fill="1" applyBorder="1" applyAlignment="1" applyProtection="1">
      <alignment horizontal="center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/>
    <xf numFmtId="0" fontId="6" fillId="0" borderId="0" xfId="0" applyFont="1" applyProtection="1"/>
    <xf numFmtId="0" fontId="12" fillId="0" borderId="0" xfId="0" applyFont="1" applyFill="1" applyBorder="1" applyProtection="1"/>
    <xf numFmtId="0" fontId="12" fillId="4" borderId="0" xfId="0" applyFont="1" applyFill="1" applyBorder="1" applyProtection="1"/>
    <xf numFmtId="0" fontId="12" fillId="3" borderId="0" xfId="0" applyFont="1" applyFill="1" applyBorder="1" applyProtection="1"/>
    <xf numFmtId="0" fontId="5" fillId="0" borderId="0" xfId="0" applyFont="1" applyProtection="1"/>
    <xf numFmtId="0" fontId="5" fillId="5" borderId="0" xfId="0" applyFont="1" applyFill="1" applyProtection="1"/>
    <xf numFmtId="0" fontId="8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0" fontId="9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165" fontId="14" fillId="0" borderId="0" xfId="0" applyNumberFormat="1" applyFont="1" applyProtection="1"/>
    <xf numFmtId="165" fontId="14" fillId="4" borderId="0" xfId="0" applyNumberFormat="1" applyFont="1" applyFill="1" applyProtection="1"/>
    <xf numFmtId="165" fontId="14" fillId="3" borderId="0" xfId="0" applyNumberFormat="1" applyFont="1" applyFill="1" applyProtection="1"/>
    <xf numFmtId="165" fontId="5" fillId="0" borderId="0" xfId="0" applyNumberFormat="1" applyFont="1" applyProtection="1"/>
    <xf numFmtId="165" fontId="5" fillId="5" borderId="0" xfId="0" applyNumberFormat="1" applyFont="1" applyFill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5" fillId="4" borderId="0" xfId="0" applyFont="1" applyFill="1" applyProtection="1"/>
    <xf numFmtId="0" fontId="5" fillId="3" borderId="0" xfId="0" applyFont="1" applyFill="1" applyProtection="1"/>
    <xf numFmtId="0" fontId="6" fillId="2" borderId="10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/>
    </xf>
    <xf numFmtId="0" fontId="6" fillId="4" borderId="14" xfId="0" applyFont="1" applyFill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/>
    </xf>
    <xf numFmtId="0" fontId="6" fillId="5" borderId="14" xfId="0" applyFont="1" applyFill="1" applyBorder="1" applyAlignment="1" applyProtection="1">
      <alignment horizontal="center"/>
    </xf>
    <xf numFmtId="0" fontId="5" fillId="2" borderId="16" xfId="0" applyFont="1" applyFill="1" applyBorder="1" applyProtection="1"/>
    <xf numFmtId="166" fontId="5" fillId="0" borderId="17" xfId="0" applyNumberFormat="1" applyFont="1" applyFill="1" applyBorder="1" applyAlignment="1" applyProtection="1">
      <alignment horizontal="center" vertical="center"/>
    </xf>
    <xf numFmtId="0" fontId="5" fillId="0" borderId="18" xfId="0" applyFont="1" applyBorder="1" applyProtection="1"/>
    <xf numFmtId="0" fontId="5" fillId="0" borderId="19" xfId="0" applyFont="1" applyBorder="1" applyProtection="1"/>
    <xf numFmtId="0" fontId="5" fillId="4" borderId="20" xfId="0" applyFont="1" applyFill="1" applyBorder="1" applyProtection="1"/>
    <xf numFmtId="0" fontId="5" fillId="0" borderId="21" xfId="0" applyFont="1" applyBorder="1" applyProtection="1"/>
    <xf numFmtId="0" fontId="5" fillId="3" borderId="20" xfId="0" applyFont="1" applyFill="1" applyBorder="1" applyProtection="1"/>
    <xf numFmtId="0" fontId="5" fillId="0" borderId="21" xfId="0" applyFont="1" applyFill="1" applyBorder="1" applyProtection="1"/>
    <xf numFmtId="0" fontId="5" fillId="5" borderId="20" xfId="0" applyFont="1" applyFill="1" applyBorder="1" applyProtection="1"/>
    <xf numFmtId="1" fontId="6" fillId="2" borderId="22" xfId="0" applyNumberFormat="1" applyFont="1" applyFill="1" applyBorder="1" applyAlignment="1" applyProtection="1">
      <alignment horizontal="center"/>
    </xf>
    <xf numFmtId="2" fontId="5" fillId="4" borderId="3" xfId="0" applyNumberFormat="1" applyFont="1" applyFill="1" applyBorder="1" applyAlignment="1" applyProtection="1">
      <alignment horizontal="center"/>
    </xf>
    <xf numFmtId="2" fontId="5" fillId="5" borderId="3" xfId="0" applyNumberFormat="1" applyFont="1" applyFill="1" applyBorder="1" applyAlignment="1" applyProtection="1">
      <alignment horizontal="center"/>
    </xf>
    <xf numFmtId="1" fontId="6" fillId="2" borderId="23" xfId="0" applyNumberFormat="1" applyFont="1" applyFill="1" applyBorder="1" applyAlignment="1" applyProtection="1">
      <alignment horizontal="center"/>
    </xf>
    <xf numFmtId="2" fontId="5" fillId="4" borderId="8" xfId="0" applyNumberFormat="1" applyFont="1" applyFill="1" applyBorder="1" applyAlignment="1" applyProtection="1">
      <alignment horizontal="center"/>
    </xf>
    <xf numFmtId="2" fontId="5" fillId="5" borderId="8" xfId="0" applyNumberFormat="1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/>
    <xf numFmtId="1" fontId="12" fillId="4" borderId="0" xfId="0" applyNumberFormat="1" applyFont="1" applyFill="1" applyBorder="1" applyProtection="1"/>
    <xf numFmtId="1" fontId="12" fillId="3" borderId="0" xfId="0" applyNumberFormat="1" applyFont="1" applyFill="1" applyBorder="1" applyProtection="1"/>
    <xf numFmtId="1" fontId="5" fillId="5" borderId="0" xfId="0" applyNumberFormat="1" applyFont="1" applyFill="1" applyProtection="1"/>
    <xf numFmtId="171" fontId="13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4" fillId="0" borderId="0" xfId="0" applyNumberFormat="1" applyFont="1" applyProtection="1"/>
    <xf numFmtId="171" fontId="14" fillId="4" borderId="0" xfId="0" applyNumberFormat="1" applyFont="1" applyFill="1" applyProtection="1"/>
    <xf numFmtId="171" fontId="14" fillId="3" borderId="0" xfId="0" applyNumberFormat="1" applyFont="1" applyFill="1" applyProtection="1"/>
    <xf numFmtId="171" fontId="5" fillId="5" borderId="0" xfId="0" applyNumberFormat="1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3" fillId="0" borderId="0" xfId="0" applyFont="1" applyProtection="1"/>
    <xf numFmtId="0" fontId="19" fillId="0" borderId="0" xfId="0" applyFont="1" applyProtection="1"/>
    <xf numFmtId="172" fontId="5" fillId="0" borderId="2" xfId="0" applyNumberFormat="1" applyFont="1" applyBorder="1" applyAlignment="1" applyProtection="1">
      <alignment horizontal="center"/>
    </xf>
    <xf numFmtId="172" fontId="5" fillId="2" borderId="5" xfId="0" applyNumberFormat="1" applyFont="1" applyFill="1" applyBorder="1" applyAlignment="1" applyProtection="1">
      <alignment horizontal="center"/>
    </xf>
    <xf numFmtId="172" fontId="5" fillId="2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Border="1" applyAlignment="1" applyProtection="1">
      <alignment horizontal="center"/>
    </xf>
    <xf numFmtId="0" fontId="22" fillId="0" borderId="11" xfId="0" applyFont="1" applyFill="1" applyBorder="1" applyAlignment="1" applyProtection="1">
      <alignment horizontal="center"/>
    </xf>
    <xf numFmtId="172" fontId="5" fillId="6" borderId="5" xfId="0" applyNumberFormat="1" applyFont="1" applyFill="1" applyBorder="1" applyAlignment="1" applyProtection="1">
      <alignment horizontal="center"/>
    </xf>
    <xf numFmtId="172" fontId="5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5" fillId="6" borderId="5" xfId="0" applyNumberFormat="1" applyFont="1" applyFill="1" applyBorder="1" applyAlignment="1" applyProtection="1">
      <alignment horizontal="center"/>
    </xf>
    <xf numFmtId="2" fontId="5" fillId="6" borderId="24" xfId="0" applyNumberFormat="1" applyFont="1" applyFill="1" applyBorder="1" applyAlignment="1" applyProtection="1">
      <alignment horizontal="center"/>
    </xf>
    <xf numFmtId="172" fontId="5" fillId="0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3" fillId="2" borderId="4" xfId="0" applyNumberFormat="1" applyFont="1" applyFill="1" applyBorder="1" applyProtection="1"/>
    <xf numFmtId="9" fontId="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5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7" borderId="0" xfId="0" applyFont="1" applyFill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29" fillId="7" borderId="0" xfId="0" applyFont="1" applyFill="1" applyProtection="1"/>
    <xf numFmtId="171" fontId="31" fillId="4" borderId="0" xfId="0" applyNumberFormat="1" applyFont="1" applyFill="1" applyProtection="1"/>
    <xf numFmtId="171" fontId="31" fillId="3" borderId="0" xfId="0" applyNumberFormat="1" applyFont="1" applyFill="1" applyProtection="1"/>
    <xf numFmtId="165" fontId="13" fillId="8" borderId="0" xfId="0" applyNumberFormat="1" applyFont="1" applyFill="1" applyAlignment="1" applyProtection="1">
      <alignment horizontal="center"/>
      <protection locked="0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" fontId="9" fillId="8" borderId="25" xfId="0" applyNumberFormat="1" applyFont="1" applyFill="1" applyBorder="1" applyAlignment="1" applyProtection="1">
      <alignment horizontal="center"/>
      <protection locked="0"/>
    </xf>
    <xf numFmtId="1" fontId="13" fillId="8" borderId="25" xfId="0" applyNumberFormat="1" applyFont="1" applyFill="1" applyBorder="1" applyAlignment="1" applyProtection="1">
      <alignment horizontal="center"/>
      <protection locked="0"/>
    </xf>
    <xf numFmtId="164" fontId="11" fillId="8" borderId="25" xfId="0" applyNumberFormat="1" applyFont="1" applyFill="1" applyBorder="1" applyAlignment="1" applyProtection="1">
      <alignment horizontal="center"/>
      <protection locked="0"/>
    </xf>
    <xf numFmtId="2" fontId="11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6" fillId="8" borderId="25" xfId="0" applyNumberFormat="1" applyFont="1" applyFill="1" applyBorder="1" applyProtection="1">
      <protection locked="0"/>
    </xf>
    <xf numFmtId="2" fontId="36" fillId="8" borderId="26" xfId="0" applyNumberFormat="1" applyFont="1" applyFill="1" applyBorder="1" applyProtection="1">
      <protection locked="0"/>
    </xf>
    <xf numFmtId="9" fontId="36" fillId="8" borderId="0" xfId="0" applyNumberFormat="1" applyFont="1" applyFill="1" applyProtection="1">
      <protection locked="0"/>
    </xf>
    <xf numFmtId="2" fontId="37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5" fillId="2" borderId="22" xfId="0" applyNumberFormat="1" applyFont="1" applyFill="1" applyBorder="1" applyAlignment="1" applyProtection="1">
      <alignment horizontal="center"/>
    </xf>
    <xf numFmtId="1" fontId="15" fillId="2" borderId="23" xfId="0" applyNumberFormat="1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" fontId="15" fillId="2" borderId="3" xfId="0" applyNumberFormat="1" applyFont="1" applyFill="1" applyBorder="1" applyAlignment="1" applyProtection="1">
      <alignment horizontal="center"/>
    </xf>
    <xf numFmtId="1" fontId="15" fillId="2" borderId="8" xfId="0" applyNumberFormat="1" applyFont="1" applyFill="1" applyBorder="1" applyAlignment="1" applyProtection="1">
      <alignment horizontal="center"/>
    </xf>
    <xf numFmtId="0" fontId="25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6" fillId="0" borderId="0" xfId="0" applyNumberFormat="1" applyFont="1" applyAlignment="1">
      <alignment horizontal="center"/>
    </xf>
    <xf numFmtId="0" fontId="3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/>
    </xf>
    <xf numFmtId="169" fontId="39" fillId="0" borderId="5" xfId="0" applyNumberFormat="1" applyFont="1" applyBorder="1" applyAlignment="1">
      <alignment horizontal="right" vertical="center"/>
    </xf>
    <xf numFmtId="174" fontId="39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39" fillId="9" borderId="18" xfId="0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left" vertical="center" indent="1"/>
    </xf>
    <xf numFmtId="0" fontId="39" fillId="9" borderId="29" xfId="0" applyFont="1" applyFill="1" applyBorder="1" applyAlignment="1">
      <alignment horizontal="center" vertical="center"/>
    </xf>
    <xf numFmtId="0" fontId="39" fillId="9" borderId="21" xfId="0" applyFont="1" applyFill="1" applyBorder="1" applyAlignment="1">
      <alignment horizontal="left" vertical="center" indent="1"/>
    </xf>
    <xf numFmtId="174" fontId="39" fillId="9" borderId="19" xfId="0" applyNumberFormat="1" applyFont="1" applyFill="1" applyBorder="1" applyAlignment="1">
      <alignment horizontal="right" vertical="center" indent="1"/>
    </xf>
    <xf numFmtId="0" fontId="39" fillId="9" borderId="27" xfId="0" applyFont="1" applyFill="1" applyBorder="1" applyAlignment="1">
      <alignment horizontal="center" vertical="center"/>
    </xf>
    <xf numFmtId="0" fontId="39" fillId="9" borderId="4" xfId="0" applyFont="1" applyFill="1" applyBorder="1" applyAlignment="1">
      <alignment horizontal="left" vertical="center" indent="1"/>
    </xf>
    <xf numFmtId="169" fontId="39" fillId="9" borderId="5" xfId="0" applyNumberFormat="1" applyFont="1" applyFill="1" applyBorder="1" applyAlignment="1">
      <alignment horizontal="right" vertical="center"/>
    </xf>
    <xf numFmtId="174" fontId="39" fillId="9" borderId="2" xfId="0" applyNumberFormat="1" applyFont="1" applyFill="1" applyBorder="1" applyAlignment="1">
      <alignment horizontal="right" vertical="center" indent="1"/>
    </xf>
    <xf numFmtId="0" fontId="39" fillId="4" borderId="27" xfId="0" applyFont="1" applyFill="1" applyBorder="1" applyAlignment="1">
      <alignment horizontal="center" vertical="center"/>
    </xf>
    <xf numFmtId="0" fontId="39" fillId="4" borderId="4" xfId="0" applyFont="1" applyFill="1" applyBorder="1" applyAlignment="1">
      <alignment horizontal="left" vertical="center" indent="1"/>
    </xf>
    <xf numFmtId="169" fontId="39" fillId="4" borderId="5" xfId="0" applyNumberFormat="1" applyFont="1" applyFill="1" applyBorder="1" applyAlignment="1">
      <alignment horizontal="right" vertical="center"/>
    </xf>
    <xf numFmtId="174" fontId="39" fillId="4" borderId="2" xfId="0" applyNumberFormat="1" applyFont="1" applyFill="1" applyBorder="1" applyAlignment="1">
      <alignment horizontal="right" vertical="center" indent="1"/>
    </xf>
    <xf numFmtId="0" fontId="39" fillId="6" borderId="27" xfId="0" applyFont="1" applyFill="1" applyBorder="1" applyAlignment="1">
      <alignment horizontal="center" vertical="center"/>
    </xf>
    <xf numFmtId="0" fontId="39" fillId="6" borderId="4" xfId="0" applyFont="1" applyFill="1" applyBorder="1" applyAlignment="1">
      <alignment horizontal="left" vertical="center" indent="1"/>
    </xf>
    <xf numFmtId="169" fontId="39" fillId="6" borderId="5" xfId="0" applyNumberFormat="1" applyFont="1" applyFill="1" applyBorder="1" applyAlignment="1">
      <alignment horizontal="right" vertical="center"/>
    </xf>
    <xf numFmtId="174" fontId="39" fillId="6" borderId="2" xfId="0" applyNumberFormat="1" applyFont="1" applyFill="1" applyBorder="1" applyAlignment="1">
      <alignment horizontal="right" vertical="center" indent="1"/>
    </xf>
    <xf numFmtId="0" fontId="39" fillId="3" borderId="27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left" vertical="center" indent="1"/>
    </xf>
    <xf numFmtId="169" fontId="39" fillId="3" borderId="5" xfId="0" applyNumberFormat="1" applyFont="1" applyFill="1" applyBorder="1" applyAlignment="1">
      <alignment horizontal="right" vertical="center"/>
    </xf>
    <xf numFmtId="174" fontId="39" fillId="3" borderId="2" xfId="0" applyNumberFormat="1" applyFont="1" applyFill="1" applyBorder="1" applyAlignment="1">
      <alignment horizontal="right" vertical="center" indent="1"/>
    </xf>
    <xf numFmtId="168" fontId="39" fillId="8" borderId="6" xfId="0" applyNumberFormat="1" applyFont="1" applyFill="1" applyBorder="1" applyProtection="1"/>
    <xf numFmtId="168" fontId="39" fillId="8" borderId="1" xfId="0" applyNumberFormat="1" applyFont="1" applyFill="1" applyBorder="1" applyProtection="1"/>
    <xf numFmtId="168" fontId="39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7" fillId="0" borderId="0" xfId="0" applyNumberFormat="1" applyFont="1" applyFill="1" applyProtection="1"/>
    <xf numFmtId="0" fontId="0" fillId="0" borderId="0" xfId="0" applyFill="1" applyProtection="1"/>
    <xf numFmtId="2" fontId="36" fillId="0" borderId="0" xfId="0" applyNumberFormat="1" applyFont="1" applyFill="1" applyBorder="1" applyProtection="1"/>
    <xf numFmtId="9" fontId="36" fillId="0" borderId="0" xfId="0" applyNumberFormat="1" applyFont="1" applyFill="1" applyProtection="1"/>
    <xf numFmtId="0" fontId="29" fillId="0" borderId="0" xfId="0" applyFont="1" applyFill="1" applyProtection="1"/>
    <xf numFmtId="0" fontId="35" fillId="0" borderId="0" xfId="0" applyFont="1" applyFill="1" applyProtection="1"/>
    <xf numFmtId="0" fontId="32" fillId="0" borderId="30" xfId="0" applyFont="1" applyFill="1" applyBorder="1" applyAlignment="1" applyProtection="1">
      <alignment horizontal="center"/>
    </xf>
    <xf numFmtId="9" fontId="3" fillId="2" borderId="3" xfId="0" applyNumberFormat="1" applyFont="1" applyFill="1" applyBorder="1" applyAlignment="1" applyProtection="1">
      <alignment horizontal="right"/>
    </xf>
    <xf numFmtId="9" fontId="3" fillId="6" borderId="3" xfId="0" applyNumberFormat="1" applyFont="1" applyFill="1" applyBorder="1" applyAlignment="1" applyProtection="1">
      <alignment horizontal="right"/>
    </xf>
    <xf numFmtId="9" fontId="3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1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5" fillId="0" borderId="0" xfId="0" applyFont="1" applyFill="1" applyProtection="1"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4" fillId="0" borderId="0" xfId="0" applyNumberFormat="1" applyFont="1" applyProtection="1"/>
    <xf numFmtId="1" fontId="14" fillId="4" borderId="0" xfId="0" applyNumberFormat="1" applyFont="1" applyFill="1" applyProtection="1"/>
    <xf numFmtId="1" fontId="14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3" fillId="8" borderId="0" xfId="0" applyNumberFormat="1" applyFont="1" applyFill="1" applyAlignment="1" applyProtection="1">
      <alignment horizontal="center"/>
      <protection locked="0"/>
    </xf>
    <xf numFmtId="171" fontId="11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7" fillId="0" borderId="0" xfId="0" applyFont="1" applyProtection="1"/>
    <xf numFmtId="0" fontId="17" fillId="3" borderId="0" xfId="0" applyFont="1" applyFill="1" applyProtection="1"/>
    <xf numFmtId="0" fontId="7" fillId="3" borderId="10" xfId="0" applyFont="1" applyFill="1" applyBorder="1" applyAlignment="1" applyProtection="1">
      <alignment horizontal="center"/>
    </xf>
    <xf numFmtId="1" fontId="7" fillId="2" borderId="31" xfId="0" applyNumberFormat="1" applyFont="1" applyFill="1" applyBorder="1" applyAlignment="1" applyProtection="1">
      <alignment horizontal="center"/>
    </xf>
    <xf numFmtId="1" fontId="7" fillId="3" borderId="31" xfId="0" applyNumberFormat="1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5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6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7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5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5" fillId="0" borderId="30" xfId="0" applyNumberFormat="1" applyFont="1" applyFill="1" applyBorder="1" applyAlignment="1" applyProtection="1">
      <alignment horizontal="center" vertical="center"/>
    </xf>
    <xf numFmtId="0" fontId="5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2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7" fillId="8" borderId="25" xfId="0" applyNumberFormat="1" applyFont="1" applyFill="1" applyBorder="1" applyAlignment="1" applyProtection="1">
      <alignment horizontal="center"/>
      <protection locked="0"/>
    </xf>
    <xf numFmtId="165" fontId="11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1" fillId="8" borderId="25" xfId="0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Alignment="1" applyProtection="1">
      <alignment horizontal="center"/>
      <protection locked="0"/>
    </xf>
    <xf numFmtId="1" fontId="13" fillId="0" borderId="0" xfId="0" applyNumberFormat="1" applyFont="1" applyBorder="1" applyAlignment="1" applyProtection="1">
      <alignment horizontal="center"/>
      <protection locked="0"/>
    </xf>
    <xf numFmtId="1" fontId="19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5" fillId="0" borderId="11" xfId="0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2" fontId="12" fillId="0" borderId="0" xfId="0" applyNumberFormat="1" applyFont="1" applyProtection="1"/>
    <xf numFmtId="2" fontId="15" fillId="0" borderId="0" xfId="0" applyNumberFormat="1" applyFont="1" applyProtection="1"/>
    <xf numFmtId="171" fontId="19" fillId="0" borderId="0" xfId="0" applyNumberFormat="1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19" fillId="0" borderId="0" xfId="0" applyNumberFormat="1" applyFont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0" fontId="25" fillId="0" borderId="14" xfId="0" applyFont="1" applyBorder="1" applyAlignment="1" applyProtection="1">
      <alignment horizontal="center" vertical="center" wrapText="1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7" borderId="0" xfId="0" applyFont="1" applyFill="1" applyAlignment="1" applyProtection="1">
      <alignment horizontal="center" vertical="center" wrapText="1"/>
    </xf>
    <xf numFmtId="49" fontId="25" fillId="0" borderId="10" xfId="0" applyNumberFormat="1" applyFont="1" applyBorder="1" applyAlignment="1" applyProtection="1">
      <alignment horizontal="center" vertical="center" wrapText="1"/>
    </xf>
    <xf numFmtId="0" fontId="24" fillId="0" borderId="14" xfId="0" applyFont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8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9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8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9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8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9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4" fillId="0" borderId="0" xfId="0" applyNumberFormat="1" applyFont="1" applyProtection="1"/>
    <xf numFmtId="2" fontId="9" fillId="0" borderId="0" xfId="0" applyNumberFormat="1" applyFont="1" applyProtection="1"/>
    <xf numFmtId="2" fontId="13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3" fillId="0" borderId="0" xfId="0" applyNumberFormat="1" applyFont="1" applyFill="1" applyAlignment="1" applyProtection="1">
      <alignment horizontal="center"/>
    </xf>
    <xf numFmtId="165" fontId="30" fillId="0" borderId="0" xfId="0" applyNumberFormat="1" applyFont="1" applyFill="1" applyAlignment="1" applyProtection="1">
      <alignment horizontal="center"/>
    </xf>
    <xf numFmtId="171" fontId="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4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2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2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4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5" fillId="2" borderId="26" xfId="0" applyNumberFormat="1" applyFont="1" applyFill="1" applyBorder="1" applyAlignment="1" applyProtection="1">
      <alignment horizontal="center"/>
    </xf>
    <xf numFmtId="0" fontId="2" fillId="0" borderId="1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5" fontId="2" fillId="0" borderId="1" xfId="2" applyNumberFormat="1" applyFill="1" applyBorder="1" applyAlignment="1">
      <alignment horizontal="center" vertical="center"/>
    </xf>
    <xf numFmtId="175" fontId="2" fillId="0" borderId="2" xfId="2" applyNumberFormat="1" applyFill="1" applyBorder="1" applyAlignment="1">
      <alignment horizontal="center" vertical="center"/>
    </xf>
    <xf numFmtId="175" fontId="2" fillId="0" borderId="5" xfId="2" applyNumberFormat="1" applyFill="1" applyBorder="1" applyAlignment="1">
      <alignment horizontal="center" vertical="center"/>
    </xf>
    <xf numFmtId="0" fontId="2" fillId="14" borderId="1" xfId="2" applyFill="1" applyBorder="1" applyAlignment="1">
      <alignment horizontal="center" vertical="center"/>
    </xf>
    <xf numFmtId="0" fontId="2" fillId="14" borderId="5" xfId="2" applyFill="1" applyBorder="1" applyAlignment="1">
      <alignment horizontal="center" vertical="center"/>
    </xf>
    <xf numFmtId="0" fontId="2" fillId="14" borderId="2" xfId="2" applyFill="1" applyBorder="1" applyAlignment="1">
      <alignment horizontal="center" vertical="center"/>
    </xf>
    <xf numFmtId="176" fontId="2" fillId="14" borderId="5" xfId="1" applyNumberFormat="1" applyFont="1" applyFill="1" applyBorder="1" applyAlignment="1">
      <alignment horizontal="center" vertical="center"/>
    </xf>
    <xf numFmtId="175" fontId="2" fillId="14" borderId="1" xfId="2" applyNumberFormat="1" applyFill="1" applyBorder="1" applyAlignment="1">
      <alignment horizontal="center" vertical="center"/>
    </xf>
    <xf numFmtId="175" fontId="2" fillId="14" borderId="2" xfId="2" applyNumberFormat="1" applyFill="1" applyBorder="1" applyAlignment="1">
      <alignment horizontal="center" vertical="center"/>
    </xf>
    <xf numFmtId="175" fontId="2" fillId="14" borderId="5" xfId="2" applyNumberFormat="1" applyFill="1" applyBorder="1" applyAlignment="1">
      <alignment horizontal="center" vertical="center"/>
    </xf>
    <xf numFmtId="1" fontId="15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4" fillId="0" borderId="0" xfId="0" applyFont="1" applyAlignment="1">
      <alignment horizontal="right"/>
    </xf>
    <xf numFmtId="177" fontId="24" fillId="0" borderId="11" xfId="0" applyNumberFormat="1" applyFont="1" applyFill="1" applyBorder="1" applyAlignment="1">
      <alignment horizontal="center" vertical="center"/>
    </xf>
    <xf numFmtId="177" fontId="24" fillId="0" borderId="12" xfId="0" applyNumberFormat="1" applyFont="1" applyFill="1" applyBorder="1" applyAlignment="1">
      <alignment horizontal="center" vertical="center"/>
    </xf>
    <xf numFmtId="177" fontId="24" fillId="0" borderId="13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8" fontId="24" fillId="0" borderId="11" xfId="0" applyNumberFormat="1" applyFont="1" applyFill="1" applyBorder="1" applyAlignment="1">
      <alignment horizontal="center" vertical="center"/>
    </xf>
    <xf numFmtId="178" fontId="24" fillId="0" borderId="12" xfId="0" applyNumberFormat="1" applyFont="1" applyFill="1" applyBorder="1" applyAlignment="1">
      <alignment horizontal="center" vertical="center"/>
    </xf>
    <xf numFmtId="178" fontId="24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8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2" fillId="0" borderId="0" xfId="2" applyNumberFormat="1"/>
    <xf numFmtId="2" fontId="2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3" fillId="0" borderId="0" xfId="0" applyFont="1" applyFill="1"/>
    <xf numFmtId="179" fontId="0" fillId="0" borderId="0" xfId="0" applyNumberFormat="1"/>
    <xf numFmtId="0" fontId="87" fillId="15" borderId="0" xfId="0" applyFont="1" applyFill="1" applyAlignment="1">
      <alignment horizontal="center" wrapText="1"/>
    </xf>
    <xf numFmtId="179" fontId="87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2" fillId="14" borderId="4" xfId="2" applyFill="1" applyBorder="1" applyAlignment="1">
      <alignment horizontal="center" vertical="center"/>
    </xf>
    <xf numFmtId="176" fontId="2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2" fillId="14" borderId="39" xfId="1" applyNumberFormat="1" applyFont="1" applyFill="1" applyBorder="1" applyAlignment="1">
      <alignment horizontal="center" vertical="center"/>
    </xf>
    <xf numFmtId="0" fontId="2" fillId="14" borderId="22" xfId="2" applyFill="1" applyBorder="1" applyAlignment="1">
      <alignment horizontal="center" vertical="center"/>
    </xf>
    <xf numFmtId="0" fontId="2" fillId="14" borderId="39" xfId="2" applyFill="1" applyBorder="1" applyAlignment="1">
      <alignment horizontal="center" vertical="center"/>
    </xf>
    <xf numFmtId="175" fontId="2" fillId="14" borderId="22" xfId="2" applyNumberFormat="1" applyFill="1" applyBorder="1" applyAlignment="1">
      <alignment horizontal="center" vertical="center"/>
    </xf>
    <xf numFmtId="175" fontId="2" fillId="14" borderId="4" xfId="2" applyNumberFormat="1" applyFill="1" applyBorder="1" applyAlignment="1">
      <alignment horizontal="center" vertical="center"/>
    </xf>
    <xf numFmtId="181" fontId="87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2" fillId="0" borderId="17" xfId="2" applyFill="1" applyBorder="1" applyAlignment="1">
      <alignment horizontal="center" vertical="center"/>
    </xf>
    <xf numFmtId="0" fontId="2" fillId="0" borderId="18" xfId="2" applyFill="1" applyBorder="1" applyAlignment="1">
      <alignment horizontal="center" vertical="center"/>
    </xf>
    <xf numFmtId="0" fontId="2" fillId="0" borderId="19" xfId="2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5" fontId="2" fillId="0" borderId="17" xfId="2" applyNumberFormat="1" applyFill="1" applyBorder="1" applyAlignment="1">
      <alignment horizontal="center" vertical="center"/>
    </xf>
    <xf numFmtId="175" fontId="2" fillId="0" borderId="19" xfId="2" applyNumberFormat="1" applyFill="1" applyBorder="1" applyAlignment="1">
      <alignment horizontal="center" vertical="center"/>
    </xf>
    <xf numFmtId="175" fontId="2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2" fillId="0" borderId="0" xfId="0" applyFont="1" applyFill="1"/>
    <xf numFmtId="0" fontId="88" fillId="0" borderId="0" xfId="0" applyFont="1" applyFill="1"/>
    <xf numFmtId="0" fontId="39" fillId="0" borderId="0" xfId="0" applyFont="1" applyFill="1"/>
    <xf numFmtId="4" fontId="32" fillId="0" borderId="0" xfId="0" applyNumberFormat="1" applyFont="1" applyFill="1"/>
    <xf numFmtId="176" fontId="32" fillId="0" borderId="0" xfId="1" applyNumberFormat="1" applyFont="1" applyFill="1"/>
    <xf numFmtId="0" fontId="1" fillId="0" borderId="0" xfId="2" applyNumberFormat="1" applyFont="1" applyFill="1"/>
    <xf numFmtId="0" fontId="0" fillId="0" borderId="0" xfId="0" applyFont="1" applyFill="1"/>
    <xf numFmtId="171" fontId="34" fillId="0" borderId="0" xfId="0" applyNumberFormat="1" applyFont="1" applyFill="1" applyAlignment="1" applyProtection="1">
      <alignment horizontal="center"/>
      <protection locked="0"/>
    </xf>
    <xf numFmtId="1" fontId="7" fillId="3" borderId="34" xfId="0" applyNumberFormat="1" applyFont="1" applyFill="1" applyBorder="1" applyAlignment="1" applyProtection="1">
      <alignment horizontal="center"/>
    </xf>
    <xf numFmtId="1" fontId="7" fillId="12" borderId="34" xfId="0" applyNumberFormat="1" applyFont="1" applyFill="1" applyBorder="1" applyAlignment="1" applyProtection="1">
      <alignment horizontal="center"/>
    </xf>
    <xf numFmtId="1" fontId="7" fillId="12" borderId="35" xfId="0" applyNumberFormat="1" applyFont="1" applyFill="1" applyBorder="1" applyAlignment="1" applyProtection="1">
      <alignment horizontal="center"/>
    </xf>
    <xf numFmtId="1" fontId="7" fillId="3" borderId="36" xfId="0" applyNumberFormat="1" applyFont="1" applyFill="1" applyBorder="1" applyAlignment="1" applyProtection="1">
      <alignment horizontal="center"/>
    </xf>
    <xf numFmtId="1" fontId="7" fillId="3" borderId="37" xfId="0" applyNumberFormat="1" applyFont="1" applyFill="1" applyBorder="1" applyAlignment="1" applyProtection="1">
      <alignment horizontal="center"/>
    </xf>
    <xf numFmtId="1" fontId="7" fillId="3" borderId="14" xfId="0" applyNumberFormat="1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left" vertical="center" wrapText="1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5" fillId="0" borderId="15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vertical="center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1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8" fillId="0" borderId="36" xfId="0" applyFont="1" applyFill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49" fillId="0" borderId="0" xfId="0" applyFont="1" applyFill="1" applyAlignment="1">
      <alignment horizontal="center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13</xdr:row>
          <xdr:rowOff>9525</xdr:rowOff>
        </xdr:from>
        <xdr:to>
          <xdr:col>18</xdr:col>
          <xdr:colOff>152400</xdr:colOff>
          <xdr:row>13</xdr:row>
          <xdr:rowOff>190500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0</xdr:row>
          <xdr:rowOff>161925</xdr:rowOff>
        </xdr:from>
        <xdr:to>
          <xdr:col>37</xdr:col>
          <xdr:colOff>304800</xdr:colOff>
          <xdr:row>2</xdr:row>
          <xdr:rowOff>161925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5</xdr:row>
          <xdr:rowOff>171450</xdr:rowOff>
        </xdr:from>
        <xdr:to>
          <xdr:col>37</xdr:col>
          <xdr:colOff>304800</xdr:colOff>
          <xdr:row>7</xdr:row>
          <xdr:rowOff>180975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8</xdr:row>
          <xdr:rowOff>85725</xdr:rowOff>
        </xdr:from>
        <xdr:to>
          <xdr:col>37</xdr:col>
          <xdr:colOff>304800</xdr:colOff>
          <xdr:row>10</xdr:row>
          <xdr:rowOff>95250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11</xdr:row>
          <xdr:rowOff>0</xdr:rowOff>
        </xdr:from>
        <xdr:to>
          <xdr:col>37</xdr:col>
          <xdr:colOff>304800</xdr:colOff>
          <xdr:row>13</xdr:row>
          <xdr:rowOff>19050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66675</xdr:rowOff>
        </xdr:from>
        <xdr:to>
          <xdr:col>37</xdr:col>
          <xdr:colOff>304800</xdr:colOff>
          <xdr:row>5</xdr:row>
          <xdr:rowOff>76200</xdr:rowOff>
        </xdr:to>
        <xdr:sp macro="" textlink="">
          <xdr:nvSpPr>
            <xdr:cNvPr id="1428" name="Button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</a:t>
              </a:r>
            </a:p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StrategyTester MT5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Лопатин Александр Валерьевич" refreshedDate="43573.410385648145" createdVersion="3" refreshedVersion="4" minRefreshableVersion="3" recordCount="172">
  <cacheSource type="worksheet">
    <worksheetSource ref="A1:O173" sheet="Данные из терминала"/>
  </cacheSource>
  <cacheFields count="15">
    <cacheField name="№№ сетки" numFmtId="0">
      <sharedItems containsSemiMixedTypes="0" containsString="0" containsNumber="1" containsInteger="1" minValue="1" maxValue="172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7" count="16">
        <n v="14"/>
        <n v="1"/>
        <n v="3"/>
        <n v="4"/>
        <n v="5"/>
        <n v="6"/>
        <n v="11"/>
        <n v="2"/>
        <n v="8"/>
        <n v="7"/>
        <n v="10"/>
        <n v="17"/>
        <n v="9"/>
        <n v="16"/>
        <n v="13"/>
        <n v="12"/>
      </sharedItems>
    </cacheField>
    <cacheField name="Максимальный лот" numFmtId="0">
      <sharedItems containsSemiMixedTypes="0" containsString="0" containsNumber="1" minValue="0.01" maxValue="6.15"/>
    </cacheField>
    <cacheField name="Общая лотность" numFmtId="0">
      <sharedItems containsSemiMixedTypes="0" containsString="0" containsNumber="1" minValue="0.01" maxValue="15.16"/>
    </cacheField>
    <cacheField name="Дата открытия" numFmtId="180">
      <sharedItems containsSemiMixedTypes="0" containsNonDate="0" containsDate="1" containsString="0" minDate="2017-01-09T00:50:08" maxDate="2018-12-14T10:29:12"/>
    </cacheField>
    <cacheField name="Цена открытия" numFmtId="0">
      <sharedItems containsSemiMixedTypes="0" containsString="0" containsNumber="1" minValue="0.70357999999999998" maxValue="0.80978000000000006"/>
    </cacheField>
    <cacheField name="Дальний ордер дата" numFmtId="180">
      <sharedItems containsSemiMixedTypes="0" containsNonDate="0" containsDate="1" containsString="0" minDate="2017-01-09T10:34:09" maxDate="2018-12-18T03:30:25"/>
    </cacheField>
    <cacheField name="Дальний ордер цена" numFmtId="0">
      <sharedItems containsSemiMixedTypes="0" containsString="0" containsNumber="1" minValue="0.70262000000000002" maxValue="0.81210000000000004"/>
    </cacheField>
    <cacheField name="Дата закрытия" numFmtId="180">
      <sharedItems containsSemiMixedTypes="0" containsNonDate="0" containsDate="1" containsString="0" minDate="2017-01-09T20:03:28" maxDate="2018-12-19T21:03:28"/>
    </cacheField>
    <cacheField name="Цена закрытия" numFmtId="0">
      <sharedItems containsSemiMixedTypes="0" containsString="0" containsNumber="1" minValue="0.70372000000000001" maxValue="0.8101600000000001"/>
    </cacheField>
    <cacheField name="Размер сетки пипс " numFmtId="0">
      <sharedItems containsSemiMixedTypes="0" containsString="0" containsNumber="1" minValue="0" maxValue="624.19999999999982"/>
    </cacheField>
    <cacheField name="Пипсов до TP" numFmtId="0">
      <sharedItems containsSemiMixedTypes="0" containsString="0" containsNumber="1" minValue="49.999999999998181" maxValue="179.30000000000018"/>
    </cacheField>
    <cacheField name="Прибыль" numFmtId="0">
      <sharedItems containsSemiMixedTypes="0" containsString="0" containsNumber="1" minValue="5" maxValue="9853.1600000000017"/>
    </cacheField>
    <cacheField name="Время сетки" numFmtId="175">
      <sharedItems containsSemiMixedTypes="0" containsNonDate="0" containsDate="1" containsString="0" minDate="1899-12-30T00:40:35" maxDate="1900-03-20T12:23: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0" applyNumberFormats="0" applyBorderFormats="0" applyFontFormats="0" applyPatternFormats="0" applyAlignmentFormats="0" applyWidthHeightFormats="1" dataCaption="Значения" updatedVersion="4" minRefreshableVersion="3" useAutoFormatting="1" colGrandTotals="0" itemPrintTitles="1" createdVersion="4" indent="0" outline="1" outlineData="1" multipleFieldFilters="0" rowHeaderCaption="Кол-во колен" colHeaderCaption="buy/sell">
  <location ref="A1:G20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6">
        <item x="1"/>
        <item x="3"/>
        <item x="7"/>
        <item x="4"/>
        <item x="2"/>
        <item x="9"/>
        <item x="5"/>
        <item x="12"/>
        <item x="8"/>
        <item x="6"/>
        <item x="15"/>
        <item x="14"/>
        <item x="0"/>
        <item x="10"/>
        <item x="11"/>
        <item x="13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customProperty" Target="../customProperty10.bin"/><Relationship Id="rId16" Type="http://schemas.openxmlformats.org/officeDocument/2006/relationships/comments" Target="../comments2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62" t="str">
        <f>IF(C$1=0,"LastOrder",IF(C$1=1,"MinOrder","ОШИБКА"))</f>
        <v>LastOrder</v>
      </c>
      <c r="C1" s="274">
        <v>0</v>
      </c>
      <c r="D1" s="114"/>
      <c r="E1" s="114"/>
      <c r="F1" s="114"/>
      <c r="G1" s="114"/>
      <c r="H1" s="114"/>
      <c r="I1" s="266"/>
      <c r="J1" s="262" t="str">
        <f>IF(K$1=0,"LastOrder",IF(K$1=1,"MinOrder","ОШИБКА"))</f>
        <v>LastOrder</v>
      </c>
      <c r="K1" s="274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6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6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6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6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6"/>
      <c r="C4" s="336"/>
      <c r="D4" s="29"/>
      <c r="E4" s="29"/>
      <c r="F4" s="29"/>
      <c r="G4" s="29"/>
      <c r="H4" s="29"/>
      <c r="I4" s="31"/>
      <c r="J4" s="246"/>
      <c r="K4" s="336"/>
      <c r="L4" s="32"/>
      <c r="M4" s="32"/>
      <c r="N4" s="32"/>
      <c r="O4" s="32"/>
      <c r="P4" s="32"/>
    </row>
    <row r="5" spans="1:16" ht="15" x14ac:dyDescent="0.25">
      <c r="A5" s="34"/>
      <c r="B5" s="246"/>
      <c r="C5" s="327"/>
      <c r="D5" s="35"/>
      <c r="E5" s="35"/>
      <c r="F5" s="35"/>
      <c r="G5" s="35"/>
      <c r="H5" s="35"/>
      <c r="I5" s="37"/>
      <c r="J5" s="246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6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6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7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7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5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8"/>
      <c r="D8" s="35"/>
      <c r="E8" s="35"/>
      <c r="F8" s="35"/>
      <c r="G8" s="35"/>
      <c r="H8" s="35"/>
      <c r="I8" s="37"/>
      <c r="J8" s="245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6" t="str">
        <f>IF(C$9&lt;0,"д.б. &gt;=0","")</f>
        <v/>
      </c>
      <c r="C9" s="24">
        <v>11</v>
      </c>
      <c r="D9" s="267"/>
      <c r="E9" s="267"/>
      <c r="F9" s="267"/>
      <c r="G9" s="267"/>
      <c r="H9" s="267"/>
      <c r="I9" s="268"/>
      <c r="J9" s="246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7" t="str">
        <f>IF(AND(C$9=0,C$10&lt;&gt;0),"д.б. =0","")</f>
        <v/>
      </c>
      <c r="C10" s="26">
        <v>-0.05</v>
      </c>
      <c r="D10" s="267"/>
      <c r="E10" s="267"/>
      <c r="F10" s="267"/>
      <c r="G10" s="267"/>
      <c r="H10" s="267"/>
      <c r="I10" s="268"/>
      <c r="J10" s="247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49"/>
      <c r="B11" s="247"/>
      <c r="C11" s="337"/>
      <c r="D11" s="267"/>
      <c r="E11" s="267"/>
      <c r="F11" s="267"/>
      <c r="G11" s="267"/>
      <c r="H11" s="267"/>
      <c r="I11" s="268"/>
      <c r="J11" s="247"/>
      <c r="K11" s="338"/>
      <c r="L11" s="32"/>
      <c r="M11" s="32"/>
      <c r="N11" s="32"/>
      <c r="O11" s="32"/>
      <c r="P11" s="32"/>
    </row>
    <row r="12" spans="1:16" ht="16.5" x14ac:dyDescent="0.3">
      <c r="A12" s="322" t="s">
        <v>92</v>
      </c>
      <c r="B12" s="247" t="str">
        <f>IF(C$12&lt;0,"д.б. &gt;=0","")</f>
        <v/>
      </c>
      <c r="C12" s="81">
        <v>0</v>
      </c>
      <c r="D12" s="267"/>
      <c r="E12" s="267"/>
      <c r="F12" s="267"/>
      <c r="G12" s="267"/>
      <c r="H12" s="267"/>
      <c r="I12" s="268"/>
      <c r="J12" s="247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22" t="s">
        <v>93</v>
      </c>
      <c r="B13" s="247" t="str">
        <f>IF(AND(C$12=0,C$13&lt;&gt;0),"д.б. =0","")</f>
        <v/>
      </c>
      <c r="C13" s="319">
        <v>0</v>
      </c>
      <c r="D13" s="267"/>
      <c r="E13" s="267"/>
      <c r="F13" s="267"/>
      <c r="G13" s="267"/>
      <c r="H13" s="267"/>
      <c r="I13" s="268"/>
      <c r="J13" s="247" t="str">
        <f>IF(AND(K$12=0,K$13&lt;&gt;0),"д.б. =0","")</f>
        <v/>
      </c>
      <c r="K13" s="319">
        <v>0</v>
      </c>
      <c r="L13" s="32"/>
      <c r="M13" s="32"/>
      <c r="N13" s="32"/>
      <c r="O13" s="32"/>
      <c r="P13" s="32"/>
    </row>
    <row r="14" spans="1:16" ht="15" x14ac:dyDescent="0.25">
      <c r="A14" s="249"/>
      <c r="B14" s="247"/>
      <c r="C14" s="337"/>
      <c r="D14" s="267"/>
      <c r="E14" s="267"/>
      <c r="F14" s="267"/>
      <c r="G14" s="267" t="s">
        <v>11</v>
      </c>
      <c r="H14" s="267"/>
      <c r="I14" s="268"/>
      <c r="J14" s="247"/>
      <c r="K14" s="338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46" t="str">
        <f>IF(C$15&lt;0,"д.б. &gt;=0","")</f>
        <v/>
      </c>
      <c r="C15" s="233">
        <v>15</v>
      </c>
      <c r="D15" s="267"/>
      <c r="E15" s="267"/>
      <c r="F15" s="267"/>
      <c r="G15" s="267"/>
      <c r="H15" s="267"/>
      <c r="I15" s="268"/>
      <c r="J15" s="246" t="str">
        <f>IF(K$15&lt;0,"д.б. &gt;=0","")</f>
        <v/>
      </c>
      <c r="K15" s="248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47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6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69" t="s">
        <v>6</v>
      </c>
      <c r="B18" s="488">
        <v>3</v>
      </c>
      <c r="C18" s="489"/>
      <c r="D18" s="490"/>
      <c r="E18" s="270"/>
      <c r="F18" s="485">
        <v>2</v>
      </c>
      <c r="G18" s="485"/>
      <c r="H18" s="485"/>
      <c r="I18" s="271"/>
      <c r="J18" s="486">
        <v>3</v>
      </c>
      <c r="K18" s="486"/>
      <c r="L18" s="486"/>
      <c r="M18" s="270"/>
      <c r="N18" s="486">
        <v>2</v>
      </c>
      <c r="O18" s="486"/>
      <c r="P18" s="487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72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2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73"/>
      <c r="F20" s="71"/>
      <c r="G20" s="68"/>
      <c r="H20" s="69"/>
      <c r="I20" s="72"/>
      <c r="J20" s="73"/>
      <c r="K20" s="68"/>
      <c r="L20" s="69"/>
      <c r="M20" s="273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7" t="s">
        <v>50</v>
      </c>
    </row>
    <row r="2" spans="1:6" ht="15.75" x14ac:dyDescent="0.25">
      <c r="B2" s="177"/>
    </row>
    <row r="3" spans="1:6" x14ac:dyDescent="0.2">
      <c r="B3" s="181" t="s">
        <v>57</v>
      </c>
    </row>
    <row r="4" spans="1:6" x14ac:dyDescent="0.2">
      <c r="B4" s="181" t="s">
        <v>58</v>
      </c>
    </row>
    <row r="5" spans="1:6" x14ac:dyDescent="0.2">
      <c r="B5" s="181" t="s">
        <v>55</v>
      </c>
    </row>
    <row r="7" spans="1:6" ht="15.75" x14ac:dyDescent="0.25">
      <c r="B7" s="179">
        <v>42492</v>
      </c>
      <c r="D7" s="180" t="s">
        <v>53</v>
      </c>
      <c r="F7" s="182" t="s">
        <v>54</v>
      </c>
    </row>
    <row r="8" spans="1:6" ht="13.5" thickBot="1" x14ac:dyDescent="0.25"/>
    <row r="9" spans="1:6" ht="39" thickBot="1" x14ac:dyDescent="0.25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 x14ac:dyDescent="0.2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 x14ac:dyDescent="0.2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 x14ac:dyDescent="0.2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 x14ac:dyDescent="0.2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 x14ac:dyDescent="0.2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 x14ac:dyDescent="0.2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 x14ac:dyDescent="0.2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 x14ac:dyDescent="0.2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 x14ac:dyDescent="0.2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 x14ac:dyDescent="0.2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 x14ac:dyDescent="0.2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 x14ac:dyDescent="0.2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 x14ac:dyDescent="0.2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 x14ac:dyDescent="0.2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 x14ac:dyDescent="0.2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 x14ac:dyDescent="0.2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 x14ac:dyDescent="0.2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 x14ac:dyDescent="0.2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 x14ac:dyDescent="0.2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 x14ac:dyDescent="0.2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 x14ac:dyDescent="0.2">
      <c r="A30" s="185">
        <f t="shared" si="0"/>
        <v>21</v>
      </c>
      <c r="B30" s="191"/>
      <c r="C30" s="186"/>
      <c r="D30" s="187"/>
    </row>
    <row r="31" spans="1:4" ht="14.25" x14ac:dyDescent="0.2">
      <c r="A31" s="185">
        <f t="shared" si="0"/>
        <v>22</v>
      </c>
      <c r="B31" s="191"/>
      <c r="C31" s="186"/>
      <c r="D31" s="187"/>
    </row>
    <row r="32" spans="1:4" ht="14.25" x14ac:dyDescent="0.2">
      <c r="A32" s="185">
        <f t="shared" si="0"/>
        <v>23</v>
      </c>
      <c r="B32" s="191"/>
      <c r="C32" s="186"/>
      <c r="D32" s="187"/>
    </row>
    <row r="33" spans="1:4" ht="14.25" x14ac:dyDescent="0.2">
      <c r="A33" s="185">
        <f t="shared" si="0"/>
        <v>24</v>
      </c>
      <c r="B33" s="191"/>
      <c r="C33" s="186"/>
      <c r="D33" s="187"/>
    </row>
    <row r="34" spans="1:4" ht="14.25" x14ac:dyDescent="0.2">
      <c r="A34" s="185">
        <f t="shared" si="0"/>
        <v>25</v>
      </c>
      <c r="B34" s="191"/>
      <c r="C34" s="186"/>
      <c r="D34" s="187"/>
    </row>
    <row r="35" spans="1:4" ht="14.25" x14ac:dyDescent="0.2">
      <c r="A35" s="185">
        <f t="shared" si="0"/>
        <v>26</v>
      </c>
      <c r="B35" s="191"/>
      <c r="C35" s="186"/>
      <c r="D35" s="187"/>
    </row>
    <row r="36" spans="1:4" ht="14.25" x14ac:dyDescent="0.2">
      <c r="A36" s="185">
        <f t="shared" si="0"/>
        <v>27</v>
      </c>
      <c r="B36" s="191"/>
      <c r="C36" s="186"/>
      <c r="D36" s="187"/>
    </row>
    <row r="37" spans="1:4" ht="14.25" x14ac:dyDescent="0.2">
      <c r="A37" s="185">
        <f t="shared" si="0"/>
        <v>28</v>
      </c>
      <c r="B37" s="191"/>
      <c r="C37" s="186"/>
      <c r="D37" s="187"/>
    </row>
    <row r="38" spans="1:4" ht="14.25" x14ac:dyDescent="0.2">
      <c r="A38" s="185">
        <f t="shared" si="0"/>
        <v>29</v>
      </c>
      <c r="B38" s="191"/>
      <c r="C38" s="186"/>
      <c r="D38" s="187"/>
    </row>
    <row r="39" spans="1:4" ht="14.25" x14ac:dyDescent="0.2">
      <c r="A39" s="185">
        <f t="shared" si="0"/>
        <v>30</v>
      </c>
      <c r="B39" s="191"/>
      <c r="C39" s="186"/>
      <c r="D39" s="187"/>
    </row>
    <row r="40" spans="1:4" ht="14.25" x14ac:dyDescent="0.2">
      <c r="A40" s="185">
        <f t="shared" si="0"/>
        <v>31</v>
      </c>
      <c r="B40" s="191"/>
      <c r="C40" s="186"/>
      <c r="D40" s="187"/>
    </row>
    <row r="41" spans="1:4" ht="14.25" x14ac:dyDescent="0.2">
      <c r="A41" s="185">
        <f t="shared" si="0"/>
        <v>32</v>
      </c>
      <c r="B41" s="191"/>
      <c r="C41" s="186"/>
      <c r="D41" s="187"/>
    </row>
    <row r="42" spans="1:4" ht="14.25" x14ac:dyDescent="0.2">
      <c r="A42" s="185">
        <f t="shared" si="0"/>
        <v>33</v>
      </c>
      <c r="B42" s="191"/>
      <c r="C42" s="186"/>
      <c r="D42" s="187"/>
    </row>
    <row r="43" spans="1:4" ht="14.25" x14ac:dyDescent="0.2">
      <c r="A43" s="185">
        <f t="shared" si="0"/>
        <v>34</v>
      </c>
      <c r="B43" s="191"/>
      <c r="C43" s="186"/>
      <c r="D43" s="187"/>
    </row>
    <row r="44" spans="1:4" ht="14.25" x14ac:dyDescent="0.2">
      <c r="A44" s="185">
        <f t="shared" si="0"/>
        <v>35</v>
      </c>
      <c r="B44" s="191"/>
      <c r="C44" s="186"/>
      <c r="D44" s="187"/>
    </row>
    <row r="45" spans="1:4" ht="14.25" x14ac:dyDescent="0.2">
      <c r="A45" s="185">
        <f t="shared" si="0"/>
        <v>36</v>
      </c>
      <c r="B45" s="191"/>
      <c r="C45" s="186"/>
      <c r="D45" s="187"/>
    </row>
    <row r="46" spans="1:4" ht="14.25" x14ac:dyDescent="0.2">
      <c r="A46" s="185">
        <f t="shared" si="0"/>
        <v>37</v>
      </c>
      <c r="B46" s="191"/>
      <c r="C46" s="186"/>
      <c r="D46" s="187"/>
    </row>
    <row r="47" spans="1:4" ht="14.25" x14ac:dyDescent="0.2">
      <c r="A47" s="185">
        <f t="shared" si="0"/>
        <v>38</v>
      </c>
      <c r="B47" s="191"/>
      <c r="C47" s="186"/>
      <c r="D47" s="187"/>
    </row>
    <row r="48" spans="1:4" ht="14.25" x14ac:dyDescent="0.2">
      <c r="A48" s="185">
        <f t="shared" si="0"/>
        <v>39</v>
      </c>
      <c r="B48" s="191"/>
      <c r="C48" s="186"/>
      <c r="D48" s="187"/>
    </row>
    <row r="49" spans="1:4" ht="14.25" x14ac:dyDescent="0.2">
      <c r="A49" s="185">
        <f t="shared" si="0"/>
        <v>40</v>
      </c>
      <c r="B49" s="191"/>
      <c r="C49" s="186"/>
      <c r="D49" s="187"/>
    </row>
  </sheetData>
  <phoneticPr fontId="4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261"/>
  <sheetViews>
    <sheetView topLeftCell="A226" zoomScale="85" zoomScaleNormal="85" workbookViewId="0">
      <selection activeCell="D1" sqref="D1"/>
    </sheetView>
  </sheetViews>
  <sheetFormatPr defaultRowHeight="12.75" x14ac:dyDescent="0.2"/>
  <cols>
    <col min="1" max="1" width="62.28515625" style="441" bestFit="1" customWidth="1"/>
    <col min="2" max="2" width="78.7109375" style="441" bestFit="1" customWidth="1"/>
    <col min="4" max="4" width="79.140625" bestFit="1" customWidth="1"/>
    <col min="5" max="5" width="23.140625" bestFit="1" customWidth="1"/>
  </cols>
  <sheetData>
    <row r="1" spans="1:4" x14ac:dyDescent="0.2">
      <c r="A1" s="441" t="s">
        <v>388</v>
      </c>
      <c r="B1" s="441" t="s">
        <v>115</v>
      </c>
      <c r="D1" t="str">
        <f>IFERROR(VLOOKUP(A1,Сводная!W:AA,4,0),B1)</f>
        <v>Общие настройки и управление торгами</v>
      </c>
    </row>
    <row r="2" spans="1:4" x14ac:dyDescent="0.2">
      <c r="A2" s="441" t="s">
        <v>116</v>
      </c>
      <c r="B2" s="441">
        <v>1</v>
      </c>
      <c r="D2" t="str">
        <f>IFERROR(VLOOKUP(A2,Сводная!W:AA,4,0),SUBSTITUTE(B2,",",""))</f>
        <v>1</v>
      </c>
    </row>
    <row r="3" spans="1:4" x14ac:dyDescent="0.2">
      <c r="A3" s="441" t="s">
        <v>117</v>
      </c>
      <c r="B3" s="441">
        <v>1</v>
      </c>
      <c r="D3" t="str">
        <f>IFERROR(VLOOKUP(A3,Сводная!W:AA,4,0),SUBSTITUTE(B3,",",""))</f>
        <v>1</v>
      </c>
    </row>
    <row r="4" spans="1:4" x14ac:dyDescent="0.2">
      <c r="A4" s="441" t="s">
        <v>118</v>
      </c>
      <c r="B4" s="441">
        <v>1</v>
      </c>
      <c r="D4" t="str">
        <f>IFERROR(VLOOKUP(A4,Сводная!W:AA,4,0),SUBSTITUTE(B4,",",""))</f>
        <v>1</v>
      </c>
    </row>
    <row r="5" spans="1:4" x14ac:dyDescent="0.2">
      <c r="A5" s="441" t="s">
        <v>119</v>
      </c>
      <c r="B5" s="441">
        <v>1</v>
      </c>
      <c r="D5" t="str">
        <f>IFERROR(VLOOKUP(A5,Сводная!W:AA,4,0),SUBSTITUTE(B5,",",""))</f>
        <v>1</v>
      </c>
    </row>
    <row r="6" spans="1:4" x14ac:dyDescent="0.2">
      <c r="A6" s="441" t="s">
        <v>120</v>
      </c>
      <c r="B6" s="441">
        <v>0</v>
      </c>
      <c r="D6" t="str">
        <f>IFERROR(VLOOKUP(A6,Сводная!W:AA,4,0),SUBSTITUTE(B6,",",""))</f>
        <v>0</v>
      </c>
    </row>
    <row r="7" spans="1:4" x14ac:dyDescent="0.2">
      <c r="A7" s="441" t="s">
        <v>121</v>
      </c>
      <c r="B7" s="441">
        <v>0</v>
      </c>
      <c r="D7" t="str">
        <f>IFERROR(VLOOKUP(A7,Сводная!W:AA,4,0),SUBSTITUTE(B7,",",""))</f>
        <v>0</v>
      </c>
    </row>
    <row r="8" spans="1:4" x14ac:dyDescent="0.2">
      <c r="A8" s="441" t="s">
        <v>122</v>
      </c>
      <c r="B8" s="441">
        <v>0</v>
      </c>
      <c r="D8" t="str">
        <f>IFERROR(VLOOKUP(A8,Сводная!W:AA,4,0),SUBSTITUTE(B8,",",""))</f>
        <v>0</v>
      </c>
    </row>
    <row r="9" spans="1:4" x14ac:dyDescent="0.2">
      <c r="A9" s="441" t="s">
        <v>123</v>
      </c>
      <c r="B9" s="441">
        <v>0</v>
      </c>
      <c r="D9" t="str">
        <f>IFERROR(VLOOKUP(A9,Сводная!W:AA,4,0),SUBSTITUTE(B9,",",""))</f>
        <v>0</v>
      </c>
    </row>
    <row r="10" spans="1:4" x14ac:dyDescent="0.2">
      <c r="A10" s="441" t="s">
        <v>124</v>
      </c>
      <c r="B10" s="441">
        <v>1110</v>
      </c>
      <c r="D10" t="str">
        <f>IFERROR(VLOOKUP(A10,Сводная!W:AA,4,0),SUBSTITUTE(B10,",",""))</f>
        <v>1110</v>
      </c>
    </row>
    <row r="11" spans="1:4" x14ac:dyDescent="0.2">
      <c r="A11" s="441" t="s">
        <v>112</v>
      </c>
      <c r="D11" t="str">
        <f>IFERROR(VLOOKUP(A11,Сводная!W:AA,4,0),SUBSTITUTE(B11,",",""))</f>
        <v/>
      </c>
    </row>
    <row r="12" spans="1:4" x14ac:dyDescent="0.2">
      <c r="A12" s="441" t="s">
        <v>125</v>
      </c>
      <c r="B12" s="441">
        <v>1</v>
      </c>
      <c r="D12">
        <f>IFERROR(VLOOKUP(A12,Сводная!W:AA,4,0),SUBSTITUTE(B12,",",""))</f>
        <v>1</v>
      </c>
    </row>
    <row r="13" spans="1:4" x14ac:dyDescent="0.2">
      <c r="A13" s="441" t="s">
        <v>389</v>
      </c>
      <c r="B13" s="441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 x14ac:dyDescent="0.2">
      <c r="A14" s="441" t="s">
        <v>127</v>
      </c>
      <c r="B14" s="441">
        <v>5</v>
      </c>
      <c r="D14" t="str">
        <f>IFERROR(VLOOKUP(A14,Сводная!W:AA,4,0),SUBSTITUTE(B14,",",""))</f>
        <v>5</v>
      </c>
    </row>
    <row r="15" spans="1:4" x14ac:dyDescent="0.2">
      <c r="A15" s="441" t="s">
        <v>128</v>
      </c>
      <c r="B15" s="441">
        <v>30</v>
      </c>
      <c r="D15" t="str">
        <f>IFERROR(VLOOKUP(A15,Сводная!W:AA,4,0),SUBSTITUTE(B15,",",""))</f>
        <v>30</v>
      </c>
    </row>
    <row r="16" spans="1:4" x14ac:dyDescent="0.2">
      <c r="A16" s="441" t="s">
        <v>129</v>
      </c>
      <c r="B16" s="441">
        <v>0</v>
      </c>
      <c r="D16" t="str">
        <f>IFERROR(VLOOKUP(A16,Сводная!W:AA,4,0),SUBSTITUTE(B16,",",""))</f>
        <v>0</v>
      </c>
    </row>
    <row r="17" spans="1:4" x14ac:dyDescent="0.2">
      <c r="A17" s="441" t="s">
        <v>130</v>
      </c>
      <c r="B17" s="441">
        <v>0</v>
      </c>
      <c r="D17" t="str">
        <f>IFERROR(VLOOKUP(A17,Сводная!W:AA,4,0),SUBSTITUTE(B17,",",""))</f>
        <v>0</v>
      </c>
    </row>
    <row r="18" spans="1:4" x14ac:dyDescent="0.2">
      <c r="A18" s="441" t="s">
        <v>131</v>
      </c>
      <c r="B18" s="441">
        <v>0</v>
      </c>
      <c r="D18" t="str">
        <f>IFERROR(VLOOKUP(A18,Сводная!W:AA,4,0),SUBSTITUTE(B18,",",""))</f>
        <v>0</v>
      </c>
    </row>
    <row r="19" spans="1:4" x14ac:dyDescent="0.2">
      <c r="A19" s="441" t="s">
        <v>132</v>
      </c>
      <c r="B19" s="441">
        <v>0</v>
      </c>
      <c r="D19" t="str">
        <f>IFERROR(VLOOKUP(A19,Сводная!W:AA,4,0),SUBSTITUTE(B19,",",""))</f>
        <v>0</v>
      </c>
    </row>
    <row r="20" spans="1:4" x14ac:dyDescent="0.2">
      <c r="A20" s="441" t="s">
        <v>390</v>
      </c>
      <c r="B20" s="441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 x14ac:dyDescent="0.2">
      <c r="A21" s="441" t="s">
        <v>134</v>
      </c>
      <c r="B21" s="441">
        <v>0</v>
      </c>
      <c r="D21" t="str">
        <f>IFERROR(VLOOKUP(A21,Сводная!W:AA,4,0),SUBSTITUTE(B21,",",""))</f>
        <v>0</v>
      </c>
    </row>
    <row r="22" spans="1:4" x14ac:dyDescent="0.2">
      <c r="A22" s="441" t="s">
        <v>135</v>
      </c>
      <c r="B22" s="441">
        <v>0</v>
      </c>
      <c r="D22" t="str">
        <f>IFERROR(VLOOKUP(A22,Сводная!W:AA,4,0),SUBSTITUTE(B22,",",""))</f>
        <v>0</v>
      </c>
    </row>
    <row r="23" spans="1:4" x14ac:dyDescent="0.2">
      <c r="A23" s="441" t="s">
        <v>136</v>
      </c>
      <c r="B23" s="441">
        <v>0</v>
      </c>
      <c r="D23" t="str">
        <f>IFERROR(VLOOKUP(A23,Сводная!W:AA,4,0),SUBSTITUTE(B23,",",""))</f>
        <v>0</v>
      </c>
    </row>
    <row r="24" spans="1:4" x14ac:dyDescent="0.2">
      <c r="A24" s="441" t="s">
        <v>137</v>
      </c>
      <c r="B24" s="441">
        <v>0</v>
      </c>
      <c r="D24" t="str">
        <f>IFERROR(VLOOKUP(A24,Сводная!W:AA,4,0),SUBSTITUTE(B24,",",""))</f>
        <v>0</v>
      </c>
    </row>
    <row r="25" spans="1:4" x14ac:dyDescent="0.2">
      <c r="A25" s="441" t="s">
        <v>138</v>
      </c>
      <c r="B25" s="441">
        <v>0</v>
      </c>
      <c r="D25" t="str">
        <f>IFERROR(VLOOKUP(A25,Сводная!W:AA,4,0),SUBSTITUTE(B25,",",""))</f>
        <v>0</v>
      </c>
    </row>
    <row r="26" spans="1:4" x14ac:dyDescent="0.2">
      <c r="A26" s="441" t="s">
        <v>139</v>
      </c>
      <c r="B26" s="441">
        <v>0</v>
      </c>
      <c r="D26" t="str">
        <f>IFERROR(VLOOKUP(A26,Сводная!W:AA,4,0),SUBSTITUTE(B26,",",""))</f>
        <v>0</v>
      </c>
    </row>
    <row r="27" spans="1:4" x14ac:dyDescent="0.2">
      <c r="A27" s="441" t="s">
        <v>140</v>
      </c>
      <c r="B27" s="441">
        <v>0</v>
      </c>
      <c r="D27" t="str">
        <f>IFERROR(VLOOKUP(A27,Сводная!W:AA,4,0),SUBSTITUTE(B27,",",""))</f>
        <v>0</v>
      </c>
    </row>
    <row r="28" spans="1:4" x14ac:dyDescent="0.2">
      <c r="A28" s="441" t="s">
        <v>141</v>
      </c>
      <c r="B28" s="441">
        <v>0</v>
      </c>
      <c r="D28" t="str">
        <f>IFERROR(VLOOKUP(A28,Сводная!W:AA,4,0),SUBSTITUTE(B28,",",""))</f>
        <v>0</v>
      </c>
    </row>
    <row r="29" spans="1:4" x14ac:dyDescent="0.2">
      <c r="A29" s="441" t="s">
        <v>142</v>
      </c>
      <c r="B29" s="441">
        <v>0</v>
      </c>
      <c r="D29" t="str">
        <f>IFERROR(VLOOKUP(A29,Сводная!W:AA,4,0),SUBSTITUTE(B29,",",""))</f>
        <v>0</v>
      </c>
    </row>
    <row r="30" spans="1:4" x14ac:dyDescent="0.2">
      <c r="A30" s="441" t="s">
        <v>143</v>
      </c>
      <c r="B30" s="441">
        <v>0</v>
      </c>
      <c r="D30" t="str">
        <f>IFERROR(VLOOKUP(A30,Сводная!W:AA,4,0),SUBSTITUTE(B30,",",""))</f>
        <v>0</v>
      </c>
    </row>
    <row r="31" spans="1:4" x14ac:dyDescent="0.2">
      <c r="A31" s="441" t="s">
        <v>144</v>
      </c>
      <c r="B31" s="441">
        <v>0</v>
      </c>
      <c r="D31" t="str">
        <f>IFERROR(VLOOKUP(A31,Сводная!W:AA,4,0),SUBSTITUTE(B31,",",""))</f>
        <v>0</v>
      </c>
    </row>
    <row r="32" spans="1:4" x14ac:dyDescent="0.2">
      <c r="A32" s="441" t="s">
        <v>391</v>
      </c>
      <c r="B32" s="441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 x14ac:dyDescent="0.2">
      <c r="A33" s="441" t="s">
        <v>113</v>
      </c>
      <c r="B33" s="441">
        <v>15</v>
      </c>
      <c r="D33">
        <f>IFERROR(VLOOKUP(A33,Сводная!W:AA,4,0),SUBSTITUTE(B33,",",""))</f>
        <v>15</v>
      </c>
    </row>
    <row r="34" spans="1:4" x14ac:dyDescent="0.2">
      <c r="A34" s="441" t="s">
        <v>146</v>
      </c>
      <c r="B34" s="441">
        <v>20</v>
      </c>
      <c r="D34">
        <f>IFERROR(VLOOKUP(A34,Сводная!W:AA,4,0),SUBSTITUTE(B34,",",""))</f>
        <v>20</v>
      </c>
    </row>
    <row r="35" spans="1:4" x14ac:dyDescent="0.2">
      <c r="A35" s="441" t="s">
        <v>147</v>
      </c>
      <c r="B35" s="441">
        <v>0</v>
      </c>
      <c r="D35">
        <f>IFERROR(VLOOKUP(A35,Сводная!W:AA,4,0),SUBSTITUTE(B35,",",""))</f>
        <v>0</v>
      </c>
    </row>
    <row r="36" spans="1:4" x14ac:dyDescent="0.2">
      <c r="A36" s="441" t="s">
        <v>148</v>
      </c>
      <c r="B36" s="441">
        <v>0</v>
      </c>
      <c r="D36">
        <f>IFERROR(VLOOKUP(A36,Сводная!W:AA,4,0),SUBSTITUTE(B36,",",""))</f>
        <v>0</v>
      </c>
    </row>
    <row r="37" spans="1:4" x14ac:dyDescent="0.2">
      <c r="A37" s="441" t="s">
        <v>149</v>
      </c>
      <c r="B37" s="441">
        <v>0</v>
      </c>
      <c r="D37">
        <f>IFERROR(VLOOKUP(A37,Сводная!W:AA,4,0),SUBSTITUTE(B37,",",""))</f>
        <v>0</v>
      </c>
    </row>
    <row r="38" spans="1:4" x14ac:dyDescent="0.2">
      <c r="A38" s="441" t="s">
        <v>150</v>
      </c>
      <c r="B38" s="441">
        <v>0</v>
      </c>
      <c r="D38">
        <f>IFERROR(VLOOKUP(A38,Сводная!W:AA,4,0),SUBSTITUTE(B38,",",""))</f>
        <v>0</v>
      </c>
    </row>
    <row r="39" spans="1:4" x14ac:dyDescent="0.2">
      <c r="A39" s="441" t="s">
        <v>151</v>
      </c>
      <c r="B39" s="441">
        <v>0</v>
      </c>
      <c r="D39">
        <f>IFERROR(VLOOKUP(A39,Сводная!W:AA,4,0),SUBSTITUTE(B39,",",""))</f>
        <v>0</v>
      </c>
    </row>
    <row r="40" spans="1:4" x14ac:dyDescent="0.2">
      <c r="A40" s="441" t="s">
        <v>152</v>
      </c>
      <c r="B40" s="441">
        <v>0</v>
      </c>
      <c r="D40">
        <f>IFERROR(VLOOKUP(A40,Сводная!W:AA,4,0),SUBSTITUTE(B40,",",""))</f>
        <v>0</v>
      </c>
    </row>
    <row r="41" spans="1:4" x14ac:dyDescent="0.2">
      <c r="A41" s="441" t="s">
        <v>153</v>
      </c>
      <c r="B41" s="441">
        <v>0</v>
      </c>
      <c r="D41">
        <f>IFERROR(VLOOKUP(A41,Сводная!W:AA,4,0),SUBSTITUTE(B41,",",""))</f>
        <v>0</v>
      </c>
    </row>
    <row r="42" spans="1:4" x14ac:dyDescent="0.2">
      <c r="A42" s="441" t="s">
        <v>392</v>
      </c>
      <c r="B42" s="441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 x14ac:dyDescent="0.2">
      <c r="A43" s="441" t="s">
        <v>155</v>
      </c>
      <c r="B43" s="441">
        <v>0</v>
      </c>
      <c r="D43">
        <f>IFERROR(VLOOKUP(A43,Сводная!W:AA,4,0),SUBSTITUTE(B43,",",""))</f>
        <v>0</v>
      </c>
    </row>
    <row r="44" spans="1:4" x14ac:dyDescent="0.2">
      <c r="A44" s="441" t="s">
        <v>156</v>
      </c>
      <c r="B44" s="441">
        <v>1000</v>
      </c>
      <c r="D44" t="str">
        <f>IFERROR(VLOOKUP(A44,Сводная!W:AA,4,0),SUBSTITUTE(B44,",",""))</f>
        <v>1000</v>
      </c>
    </row>
    <row r="45" spans="1:4" x14ac:dyDescent="0.2">
      <c r="A45" s="441" t="s">
        <v>157</v>
      </c>
      <c r="B45" s="441">
        <v>0.01</v>
      </c>
      <c r="D45">
        <f>IFERROR(VLOOKUP(A45,Сводная!W:AA,4,0),SUBSTITUTE(B45,",",""))</f>
        <v>0.01</v>
      </c>
    </row>
    <row r="46" spans="1:4" x14ac:dyDescent="0.2">
      <c r="A46" s="441" t="s">
        <v>158</v>
      </c>
      <c r="B46" s="441">
        <v>5</v>
      </c>
      <c r="D46">
        <f>IFERROR(VLOOKUP(A46,Сводная!W:AA,4,0),SUBSTITUTE(B46,",",""))</f>
        <v>5</v>
      </c>
    </row>
    <row r="47" spans="1:4" x14ac:dyDescent="0.2">
      <c r="A47" s="441" t="s">
        <v>159</v>
      </c>
      <c r="B47" s="441">
        <v>8</v>
      </c>
      <c r="D47">
        <f>IFERROR(VLOOKUP(A47,Сводная!W:AA,4,0),SUBSTITUTE(B47,",",""))</f>
        <v>8</v>
      </c>
    </row>
    <row r="48" spans="1:4" x14ac:dyDescent="0.2">
      <c r="A48" s="441" t="s">
        <v>160</v>
      </c>
      <c r="B48" s="441">
        <v>0</v>
      </c>
      <c r="D48">
        <f>IFERROR(VLOOKUP(A48,Сводная!W:AA,4,0),SUBSTITUTE(B48,",",""))</f>
        <v>0</v>
      </c>
    </row>
    <row r="49" spans="1:4" x14ac:dyDescent="0.2">
      <c r="A49" s="441" t="s">
        <v>161</v>
      </c>
      <c r="B49" s="441">
        <v>0</v>
      </c>
      <c r="D49">
        <f>IFERROR(VLOOKUP(A49,Сводная!W:AA,4,0),SUBSTITUTE(B49,",",""))</f>
        <v>0</v>
      </c>
    </row>
    <row r="50" spans="1:4" x14ac:dyDescent="0.2">
      <c r="A50" s="441" t="s">
        <v>162</v>
      </c>
      <c r="B50" s="441">
        <v>0</v>
      </c>
      <c r="D50">
        <f>IFERROR(VLOOKUP(A50,Сводная!W:AA,4,0),SUBSTITUTE(B50,",",""))</f>
        <v>0</v>
      </c>
    </row>
    <row r="51" spans="1:4" x14ac:dyDescent="0.2">
      <c r="A51" s="441" t="s">
        <v>163</v>
      </c>
      <c r="B51" s="441">
        <v>0</v>
      </c>
      <c r="D51">
        <f>IFERROR(VLOOKUP(A51,Сводная!W:AA,4,0),SUBSTITUTE(B51,",",""))</f>
        <v>0</v>
      </c>
    </row>
    <row r="52" spans="1:4" x14ac:dyDescent="0.2">
      <c r="A52" s="441" t="s">
        <v>164</v>
      </c>
      <c r="B52" s="441">
        <v>0</v>
      </c>
      <c r="D52">
        <f>IFERROR(VLOOKUP(A52,Сводная!W:AA,4,0),SUBSTITUTE(B52,",",""))</f>
        <v>0</v>
      </c>
    </row>
    <row r="53" spans="1:4" x14ac:dyDescent="0.2">
      <c r="A53" s="441" t="s">
        <v>165</v>
      </c>
      <c r="B53" s="441">
        <v>0</v>
      </c>
      <c r="D53">
        <f>IFERROR(VLOOKUP(A53,Сводная!W:AA,4,0),SUBSTITUTE(B53,",",""))</f>
        <v>0</v>
      </c>
    </row>
    <row r="54" spans="1:4" x14ac:dyDescent="0.2">
      <c r="A54" s="441" t="s">
        <v>166</v>
      </c>
      <c r="B54" s="441">
        <v>0</v>
      </c>
      <c r="D54">
        <f>IFERROR(VLOOKUP(A54,Сводная!W:AA,4,0),SUBSTITUTE(B54,",",""))</f>
        <v>0</v>
      </c>
    </row>
    <row r="55" spans="1:4" x14ac:dyDescent="0.2">
      <c r="A55" s="441" t="s">
        <v>167</v>
      </c>
      <c r="B55" s="441">
        <v>0</v>
      </c>
      <c r="D55">
        <f>IFERROR(VLOOKUP(A55,Сводная!W:AA,4,0),SUBSTITUTE(B55,",",""))</f>
        <v>0</v>
      </c>
    </row>
    <row r="56" spans="1:4" x14ac:dyDescent="0.2">
      <c r="A56" s="441" t="s">
        <v>393</v>
      </c>
      <c r="B56" s="441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 x14ac:dyDescent="0.2">
      <c r="A57" s="441" t="s">
        <v>169</v>
      </c>
      <c r="B57" s="441">
        <v>1</v>
      </c>
      <c r="D57" t="str">
        <f>IFERROR(VLOOKUP(A57,Сводная!W:AA,4,0),SUBSTITUTE(B57,",",""))</f>
        <v>1</v>
      </c>
    </row>
    <row r="58" spans="1:4" x14ac:dyDescent="0.2">
      <c r="A58" s="441" t="s">
        <v>170</v>
      </c>
      <c r="B58" s="441">
        <v>2</v>
      </c>
      <c r="D58">
        <f>IFERROR(VLOOKUP(A58,Сводная!W:AA,4,0),SUBSTITUTE(B58,",",""))</f>
        <v>2</v>
      </c>
    </row>
    <row r="59" spans="1:4" x14ac:dyDescent="0.2">
      <c r="A59" s="441" t="s">
        <v>171</v>
      </c>
      <c r="B59" s="441">
        <v>5</v>
      </c>
      <c r="D59">
        <f>IFERROR(VLOOKUP(A59,Сводная!W:AA,4,0),SUBSTITUTE(B59,",",""))</f>
        <v>5</v>
      </c>
    </row>
    <row r="60" spans="1:4" x14ac:dyDescent="0.2">
      <c r="A60" s="441" t="s">
        <v>172</v>
      </c>
      <c r="B60" s="441">
        <v>0</v>
      </c>
      <c r="D60">
        <f>IFERROR(VLOOKUP(A60,Сводная!W:AA,4,0),SUBSTITUTE(B60,",",""))</f>
        <v>0</v>
      </c>
    </row>
    <row r="61" spans="1:4" x14ac:dyDescent="0.2">
      <c r="A61" s="441" t="s">
        <v>173</v>
      </c>
      <c r="B61" s="441">
        <v>0</v>
      </c>
      <c r="D61">
        <f>IFERROR(VLOOKUP(A61,Сводная!W:AA,4,0),SUBSTITUTE(B61,",",""))</f>
        <v>0</v>
      </c>
    </row>
    <row r="62" spans="1:4" x14ac:dyDescent="0.2">
      <c r="A62" s="441" t="s">
        <v>174</v>
      </c>
      <c r="B62" s="441">
        <v>0</v>
      </c>
      <c r="D62">
        <f>IFERROR(VLOOKUP(A62,Сводная!W:AA,4,0),SUBSTITUTE(B62,",",""))</f>
        <v>0</v>
      </c>
    </row>
    <row r="63" spans="1:4" x14ac:dyDescent="0.2">
      <c r="A63" s="441" t="s">
        <v>175</v>
      </c>
      <c r="B63" s="441">
        <v>0</v>
      </c>
      <c r="D63">
        <f>IFERROR(VLOOKUP(A63,Сводная!W:AA,4,0),SUBSTITUTE(B63,",",""))</f>
        <v>0</v>
      </c>
    </row>
    <row r="64" spans="1:4" x14ac:dyDescent="0.2">
      <c r="A64" s="441" t="s">
        <v>176</v>
      </c>
      <c r="B64" s="441">
        <v>0</v>
      </c>
      <c r="D64">
        <f>IFERROR(VLOOKUP(A64,Сводная!W:AA,4,0),SUBSTITUTE(B64,",",""))</f>
        <v>0</v>
      </c>
    </row>
    <row r="65" spans="1:4" x14ac:dyDescent="0.2">
      <c r="A65" s="441" t="s">
        <v>394</v>
      </c>
      <c r="B65" s="441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 x14ac:dyDescent="0.2">
      <c r="A66" s="441" t="s">
        <v>114</v>
      </c>
      <c r="B66" s="441">
        <v>15</v>
      </c>
      <c r="D66">
        <f>IFERROR(VLOOKUP(A66,Сводная!W:AA,4,0),SUBSTITUTE(B66,",",""))</f>
        <v>15</v>
      </c>
    </row>
    <row r="67" spans="1:4" x14ac:dyDescent="0.2">
      <c r="A67" s="441" t="s">
        <v>178</v>
      </c>
      <c r="B67" s="441">
        <v>8</v>
      </c>
      <c r="D67">
        <f>IFERROR(VLOOKUP(A67,Сводная!W:AA,4,0),SUBSTITUTE(B67,",",""))</f>
        <v>8</v>
      </c>
    </row>
    <row r="68" spans="1:4" x14ac:dyDescent="0.2">
      <c r="A68" s="441" t="s">
        <v>179</v>
      </c>
      <c r="B68" s="441">
        <v>3</v>
      </c>
      <c r="D68">
        <f>IFERROR(VLOOKUP(A68,Сводная!W:AA,4,0),SUBSTITUTE(B68,",",""))</f>
        <v>3</v>
      </c>
    </row>
    <row r="69" spans="1:4" x14ac:dyDescent="0.2">
      <c r="A69" s="441" t="s">
        <v>180</v>
      </c>
      <c r="B69" s="441">
        <v>1</v>
      </c>
      <c r="D69">
        <f>IFERROR(VLOOKUP(A69,Сводная!W:AA,4,0),SUBSTITUTE(B69,",",""))</f>
        <v>1</v>
      </c>
    </row>
    <row r="70" spans="1:4" x14ac:dyDescent="0.2">
      <c r="A70" s="441" t="s">
        <v>181</v>
      </c>
      <c r="B70" s="441">
        <v>10</v>
      </c>
      <c r="D70">
        <f>IFERROR(VLOOKUP(A70,Сводная!W:AA,4,0),SUBSTITUTE(B70,",",""))</f>
        <v>10</v>
      </c>
    </row>
    <row r="71" spans="1:4" x14ac:dyDescent="0.2">
      <c r="A71" s="441" t="s">
        <v>182</v>
      </c>
      <c r="B71" s="441">
        <v>7</v>
      </c>
      <c r="D71">
        <f>IFERROR(VLOOKUP(A71,Сводная!W:AA,4,0),SUBSTITUTE(B71,",",""))</f>
        <v>7</v>
      </c>
    </row>
    <row r="72" spans="1:4" x14ac:dyDescent="0.2">
      <c r="A72" s="441" t="s">
        <v>183</v>
      </c>
      <c r="B72" s="441">
        <v>0</v>
      </c>
      <c r="D72">
        <f>IFERROR(VLOOKUP(A72,Сводная!W:AA,4,0),SUBSTITUTE(B72,",",""))</f>
        <v>0</v>
      </c>
    </row>
    <row r="73" spans="1:4" x14ac:dyDescent="0.2">
      <c r="A73" s="441" t="s">
        <v>184</v>
      </c>
      <c r="B73" s="441">
        <v>0</v>
      </c>
      <c r="D73">
        <f>IFERROR(VLOOKUP(A73,Сводная!W:AA,4,0),SUBSTITUTE(B73,",",""))</f>
        <v>0</v>
      </c>
    </row>
    <row r="74" spans="1:4" x14ac:dyDescent="0.2">
      <c r="A74" s="441" t="s">
        <v>185</v>
      </c>
      <c r="B74" s="441">
        <v>0</v>
      </c>
      <c r="D74">
        <f>IFERROR(VLOOKUP(A74,Сводная!W:AA,4,0),SUBSTITUTE(B74,",",""))</f>
        <v>0</v>
      </c>
    </row>
    <row r="75" spans="1:4" x14ac:dyDescent="0.2">
      <c r="A75" s="441" t="s">
        <v>395</v>
      </c>
      <c r="B75" s="441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 x14ac:dyDescent="0.2">
      <c r="A76" s="441" t="s">
        <v>187</v>
      </c>
      <c r="B76" s="441">
        <v>0</v>
      </c>
      <c r="D76">
        <f>IFERROR(VLOOKUP(A76,Сводная!W:AA,4,0),SUBSTITUTE(B76,",",""))</f>
        <v>0</v>
      </c>
    </row>
    <row r="77" spans="1:4" x14ac:dyDescent="0.2">
      <c r="A77" s="441" t="s">
        <v>188</v>
      </c>
      <c r="B77" s="441">
        <v>0</v>
      </c>
      <c r="D77" t="str">
        <f>IFERROR(VLOOKUP(A77,Сводная!W:AA,4,0),SUBSTITUTE(B77,",",""))</f>
        <v>0</v>
      </c>
    </row>
    <row r="78" spans="1:4" x14ac:dyDescent="0.2">
      <c r="A78" s="441" t="s">
        <v>189</v>
      </c>
      <c r="B78" s="441">
        <v>0.01</v>
      </c>
      <c r="D78">
        <f>IFERROR(VLOOKUP(A78,Сводная!W:AA,4,0),SUBSTITUTE(B78,",",""))</f>
        <v>0.01</v>
      </c>
    </row>
    <row r="79" spans="1:4" x14ac:dyDescent="0.2">
      <c r="A79" s="441" t="s">
        <v>190</v>
      </c>
      <c r="B79" s="441">
        <v>1.5</v>
      </c>
      <c r="D79">
        <f>IFERROR(VLOOKUP(A79,Сводная!W:AA,4,0),SUBSTITUTE(B79,",",""))</f>
        <v>1.5</v>
      </c>
    </row>
    <row r="80" spans="1:4" x14ac:dyDescent="0.2">
      <c r="A80" s="441" t="s">
        <v>191</v>
      </c>
      <c r="B80" s="441">
        <v>3</v>
      </c>
      <c r="D80">
        <f>IFERROR(VLOOKUP(A80,Сводная!W:AA,4,0),SUBSTITUTE(B80,",",""))</f>
        <v>3</v>
      </c>
    </row>
    <row r="81" spans="1:4" x14ac:dyDescent="0.2">
      <c r="A81" s="441" t="s">
        <v>192</v>
      </c>
      <c r="B81" s="441">
        <v>5</v>
      </c>
      <c r="D81">
        <f>IFERROR(VLOOKUP(A81,Сводная!W:AA,4,0),SUBSTITUTE(B81,",",""))</f>
        <v>5</v>
      </c>
    </row>
    <row r="82" spans="1:4" x14ac:dyDescent="0.2">
      <c r="A82" s="441" t="s">
        <v>193</v>
      </c>
      <c r="B82" s="441">
        <v>0.01</v>
      </c>
      <c r="D82">
        <f>IFERROR(VLOOKUP(A82,Сводная!W:AA,4,0),SUBSTITUTE(B82,",",""))</f>
        <v>0.01</v>
      </c>
    </row>
    <row r="83" spans="1:4" x14ac:dyDescent="0.2">
      <c r="A83" s="441" t="s">
        <v>194</v>
      </c>
      <c r="B83" s="441">
        <v>8</v>
      </c>
      <c r="D83">
        <f>IFERROR(VLOOKUP(A83,Сводная!W:AA,4,0),SUBSTITUTE(B83,",",""))</f>
        <v>8</v>
      </c>
    </row>
    <row r="84" spans="1:4" x14ac:dyDescent="0.2">
      <c r="A84" s="441" t="s">
        <v>195</v>
      </c>
      <c r="B84" s="441">
        <v>0.02</v>
      </c>
      <c r="D84">
        <f>IFERROR(VLOOKUP(A84,Сводная!W:AA,4,0),SUBSTITUTE(B84,",",""))</f>
        <v>0.02</v>
      </c>
    </row>
    <row r="85" spans="1:4" x14ac:dyDescent="0.2">
      <c r="A85" s="441" t="s">
        <v>196</v>
      </c>
      <c r="B85" s="441">
        <v>11</v>
      </c>
      <c r="D85">
        <f>IFERROR(VLOOKUP(A85,Сводная!W:AA,4,0),SUBSTITUTE(B85,",",""))</f>
        <v>11</v>
      </c>
    </row>
    <row r="86" spans="1:4" x14ac:dyDescent="0.2">
      <c r="A86" s="441" t="s">
        <v>197</v>
      </c>
      <c r="B86" s="441">
        <v>0.03</v>
      </c>
      <c r="D86">
        <f>IFERROR(VLOOKUP(A86,Сводная!W:AA,4,0),SUBSTITUTE(B86,",",""))</f>
        <v>0.03</v>
      </c>
    </row>
    <row r="87" spans="1:4" x14ac:dyDescent="0.2">
      <c r="A87" s="441" t="s">
        <v>198</v>
      </c>
      <c r="B87" s="441">
        <v>0</v>
      </c>
      <c r="D87">
        <f>IFERROR(VLOOKUP(A87,Сводная!W:AA,4,0),SUBSTITUTE(B87,",",""))</f>
        <v>0</v>
      </c>
    </row>
    <row r="88" spans="1:4" x14ac:dyDescent="0.2">
      <c r="A88" s="441" t="s">
        <v>199</v>
      </c>
      <c r="B88" s="441">
        <v>0</v>
      </c>
      <c r="D88">
        <f>IFERROR(VLOOKUP(A88,Сводная!W:AA,4,0),SUBSTITUTE(B88,",",""))</f>
        <v>0</v>
      </c>
    </row>
    <row r="89" spans="1:4" x14ac:dyDescent="0.2">
      <c r="A89" s="441" t="s">
        <v>396</v>
      </c>
      <c r="B89" s="441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 x14ac:dyDescent="0.2">
      <c r="A90" s="441" t="s">
        <v>201</v>
      </c>
      <c r="B90" s="441">
        <v>1</v>
      </c>
      <c r="D90" t="str">
        <f>IFERROR(VLOOKUP(A90,Сводная!W:AA,4,0),SUBSTITUTE(B90,",",""))</f>
        <v>1</v>
      </c>
    </row>
    <row r="91" spans="1:4" x14ac:dyDescent="0.2">
      <c r="A91" s="441" t="s">
        <v>202</v>
      </c>
      <c r="B91" s="441">
        <v>4</v>
      </c>
      <c r="D91">
        <f>IFERROR(VLOOKUP(A91,Сводная!W:AA,4,0),SUBSTITUTE(B91,",",""))</f>
        <v>4</v>
      </c>
    </row>
    <row r="92" spans="1:4" x14ac:dyDescent="0.2">
      <c r="A92" s="441" t="s">
        <v>203</v>
      </c>
      <c r="B92" s="441">
        <v>4</v>
      </c>
      <c r="D92">
        <f>IFERROR(VLOOKUP(A92,Сводная!W:AA,4,0),SUBSTITUTE(B92,",",""))</f>
        <v>4</v>
      </c>
    </row>
    <row r="93" spans="1:4" x14ac:dyDescent="0.2">
      <c r="A93" s="441" t="s">
        <v>204</v>
      </c>
      <c r="B93" s="441">
        <v>1</v>
      </c>
      <c r="D93">
        <f>IFERROR(VLOOKUP(A93,Сводная!W:AA,4,0),SUBSTITUTE(B93,",",""))</f>
        <v>1</v>
      </c>
    </row>
    <row r="94" spans="1:4" x14ac:dyDescent="0.2">
      <c r="A94" s="441" t="s">
        <v>205</v>
      </c>
      <c r="B94" s="441">
        <v>12</v>
      </c>
      <c r="D94">
        <f>IFERROR(VLOOKUP(A94,Сводная!W:AA,4,0),SUBSTITUTE(B94,",",""))</f>
        <v>12</v>
      </c>
    </row>
    <row r="95" spans="1:4" x14ac:dyDescent="0.2">
      <c r="A95" s="441" t="s">
        <v>206</v>
      </c>
      <c r="B95" s="441">
        <v>-1</v>
      </c>
      <c r="D95">
        <f>IFERROR(VLOOKUP(A95,Сводная!W:AA,4,0),SUBSTITUTE(B95,",",""))</f>
        <v>-1</v>
      </c>
    </row>
    <row r="96" spans="1:4" x14ac:dyDescent="0.2">
      <c r="A96" s="441" t="s">
        <v>207</v>
      </c>
      <c r="B96" s="441">
        <v>0</v>
      </c>
      <c r="D96">
        <f>IFERROR(VLOOKUP(A96,Сводная!W:AA,4,0),SUBSTITUTE(B96,",",""))</f>
        <v>0</v>
      </c>
    </row>
    <row r="97" spans="1:4" x14ac:dyDescent="0.2">
      <c r="A97" s="441" t="s">
        <v>208</v>
      </c>
      <c r="B97" s="441">
        <v>0</v>
      </c>
      <c r="D97">
        <f>IFERROR(VLOOKUP(A97,Сводная!W:AA,4,0),SUBSTITUTE(B97,",",""))</f>
        <v>0</v>
      </c>
    </row>
    <row r="98" spans="1:4" x14ac:dyDescent="0.2">
      <c r="A98" s="441" t="s">
        <v>397</v>
      </c>
      <c r="B98" s="441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 x14ac:dyDescent="0.2">
      <c r="A99" s="441" t="s">
        <v>210</v>
      </c>
      <c r="B99" s="441">
        <v>1</v>
      </c>
      <c r="D99" t="str">
        <f>IFERROR(VLOOKUP(A99,Сводная!W:AA,4,0),SUBSTITUTE(B99,",",""))</f>
        <v>1</v>
      </c>
    </row>
    <row r="100" spans="1:4" x14ac:dyDescent="0.2">
      <c r="A100" s="441" t="s">
        <v>211</v>
      </c>
      <c r="B100" s="441">
        <v>0</v>
      </c>
      <c r="D100" t="str">
        <f>IFERROR(VLOOKUP(A100,Сводная!W:AA,4,0),SUBSTITUTE(B100,",",""))</f>
        <v>0</v>
      </c>
    </row>
    <row r="101" spans="1:4" x14ac:dyDescent="0.2">
      <c r="A101" s="441" t="s">
        <v>212</v>
      </c>
      <c r="B101" s="441">
        <v>0</v>
      </c>
      <c r="D101" t="str">
        <f>IFERROR(VLOOKUP(A101,Сводная!W:AA,4,0),SUBSTITUTE(B101,",",""))</f>
        <v>0</v>
      </c>
    </row>
    <row r="102" spans="1:4" x14ac:dyDescent="0.2">
      <c r="A102" s="441" t="s">
        <v>213</v>
      </c>
      <c r="B102" s="441">
        <v>0</v>
      </c>
      <c r="D102" t="str">
        <f>IFERROR(VLOOKUP(A102,Сводная!W:AA,4,0),SUBSTITUTE(B102,",",""))</f>
        <v>0</v>
      </c>
    </row>
    <row r="103" spans="1:4" x14ac:dyDescent="0.2">
      <c r="A103" s="441" t="s">
        <v>214</v>
      </c>
      <c r="B103" s="441">
        <v>0</v>
      </c>
      <c r="D103" t="str">
        <f>IFERROR(VLOOKUP(A103,Сводная!W:AA,4,0),SUBSTITUTE(B103,",",""))</f>
        <v>0</v>
      </c>
    </row>
    <row r="104" spans="1:4" x14ac:dyDescent="0.2">
      <c r="A104" s="441" t="s">
        <v>215</v>
      </c>
      <c r="B104" s="441">
        <v>1</v>
      </c>
      <c r="D104" t="str">
        <f>IFERROR(VLOOKUP(A104,Сводная!W:AA,4,0),SUBSTITUTE(B104,",",""))</f>
        <v>1</v>
      </c>
    </row>
    <row r="105" spans="1:4" x14ac:dyDescent="0.2">
      <c r="A105" s="441" t="s">
        <v>398</v>
      </c>
      <c r="B105" s="441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 x14ac:dyDescent="0.2">
      <c r="A106" s="441" t="s">
        <v>217</v>
      </c>
      <c r="B106" s="441">
        <v>2</v>
      </c>
      <c r="D106" t="str">
        <f>IFERROR(VLOOKUP(A106,Сводная!W:AA,4,0),SUBSTITUTE(B106,",",""))</f>
        <v>2</v>
      </c>
    </row>
    <row r="107" spans="1:4" x14ac:dyDescent="0.2">
      <c r="A107" s="441" t="s">
        <v>218</v>
      </c>
      <c r="B107" s="441">
        <v>0</v>
      </c>
      <c r="D107" t="str">
        <f>IFERROR(VLOOKUP(A107,Сводная!W:AA,4,0),SUBSTITUTE(B107,",",""))</f>
        <v>0</v>
      </c>
    </row>
    <row r="108" spans="1:4" x14ac:dyDescent="0.2">
      <c r="A108" s="441" t="s">
        <v>219</v>
      </c>
      <c r="B108" s="441">
        <v>0</v>
      </c>
      <c r="D108" t="str">
        <f>IFERROR(VLOOKUP(A108,Сводная!W:AA,4,0),SUBSTITUTE(B108,",",""))</f>
        <v>0</v>
      </c>
    </row>
    <row r="109" spans="1:4" x14ac:dyDescent="0.2">
      <c r="A109" s="441" t="s">
        <v>220</v>
      </c>
      <c r="B109" s="441">
        <v>0</v>
      </c>
      <c r="D109" t="str">
        <f>IFERROR(VLOOKUP(A109,Сводная!W:AA,4,0),SUBSTITUTE(B109,",",""))</f>
        <v>0</v>
      </c>
    </row>
    <row r="110" spans="1:4" x14ac:dyDescent="0.2">
      <c r="A110" s="441" t="s">
        <v>221</v>
      </c>
      <c r="B110" s="441">
        <v>0</v>
      </c>
      <c r="D110" t="str">
        <f>IFERROR(VLOOKUP(A110,Сводная!W:AA,4,0),SUBSTITUTE(B110,",",""))</f>
        <v>0</v>
      </c>
    </row>
    <row r="111" spans="1:4" x14ac:dyDescent="0.2">
      <c r="A111" s="441" t="s">
        <v>222</v>
      </c>
      <c r="B111" s="441">
        <v>0</v>
      </c>
      <c r="D111" t="str">
        <f>IFERROR(VLOOKUP(A111,Сводная!W:AA,4,0),SUBSTITUTE(B111,",",""))</f>
        <v>0</v>
      </c>
    </row>
    <row r="112" spans="1:4" x14ac:dyDescent="0.2">
      <c r="A112" s="441" t="s">
        <v>223</v>
      </c>
      <c r="B112" s="441">
        <v>0</v>
      </c>
      <c r="D112" t="str">
        <f>IFERROR(VLOOKUP(A112,Сводная!W:AA,4,0),SUBSTITUTE(B112,",",""))</f>
        <v>0</v>
      </c>
    </row>
    <row r="113" spans="1:4" x14ac:dyDescent="0.2">
      <c r="A113" s="441" t="s">
        <v>224</v>
      </c>
      <c r="B113" s="441">
        <v>0</v>
      </c>
      <c r="D113" t="str">
        <f>IFERROR(VLOOKUP(A113,Сводная!W:AA,4,0),SUBSTITUTE(B113,",",""))</f>
        <v>0</v>
      </c>
    </row>
    <row r="114" spans="1:4" x14ac:dyDescent="0.2">
      <c r="A114" s="441" t="s">
        <v>225</v>
      </c>
      <c r="B114" s="441">
        <v>0</v>
      </c>
      <c r="D114" t="str">
        <f>IFERROR(VLOOKUP(A114,Сводная!W:AA,4,0),SUBSTITUTE(B114,",",""))</f>
        <v>0</v>
      </c>
    </row>
    <row r="115" spans="1:4" x14ac:dyDescent="0.2">
      <c r="A115" s="441" t="s">
        <v>226</v>
      </c>
      <c r="B115" s="441">
        <v>0</v>
      </c>
      <c r="D115" t="str">
        <f>IFERROR(VLOOKUP(A115,Сводная!W:AA,4,0),SUBSTITUTE(B115,",",""))</f>
        <v>0</v>
      </c>
    </row>
    <row r="116" spans="1:4" x14ac:dyDescent="0.2">
      <c r="A116" s="441" t="s">
        <v>227</v>
      </c>
      <c r="B116" s="441">
        <v>0</v>
      </c>
      <c r="D116" t="str">
        <f>IFERROR(VLOOKUP(A116,Сводная!W:AA,4,0),SUBSTITUTE(B116,",",""))</f>
        <v>0</v>
      </c>
    </row>
    <row r="117" spans="1:4" x14ac:dyDescent="0.2">
      <c r="A117" s="441" t="s">
        <v>399</v>
      </c>
      <c r="B117" s="441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 x14ac:dyDescent="0.2">
      <c r="A118" s="441" t="s">
        <v>229</v>
      </c>
      <c r="B118" s="441">
        <v>1</v>
      </c>
      <c r="D118" t="str">
        <f>IFERROR(VLOOKUP(A118,Сводная!W:AA,4,0),SUBSTITUTE(B118,",",""))</f>
        <v>1</v>
      </c>
    </row>
    <row r="119" spans="1:4" x14ac:dyDescent="0.2">
      <c r="A119" s="441" t="s">
        <v>230</v>
      </c>
      <c r="B119" s="441">
        <v>0</v>
      </c>
      <c r="D119" t="str">
        <f>IFERROR(VLOOKUP(A119,Сводная!W:AA,4,0),SUBSTITUTE(B119,",",""))</f>
        <v>0</v>
      </c>
    </row>
    <row r="120" spans="1:4" x14ac:dyDescent="0.2">
      <c r="A120" s="441" t="s">
        <v>231</v>
      </c>
      <c r="B120" s="441">
        <v>0</v>
      </c>
      <c r="D120" t="str">
        <f>IFERROR(VLOOKUP(A120,Сводная!W:AA,4,0),SUBSTITUTE(B120,",",""))</f>
        <v>0</v>
      </c>
    </row>
    <row r="121" spans="1:4" x14ac:dyDescent="0.2">
      <c r="A121" s="441" t="s">
        <v>400</v>
      </c>
      <c r="B121" s="441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 x14ac:dyDescent="0.2">
      <c r="A122" s="441" t="s">
        <v>401</v>
      </c>
      <c r="B122" s="441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 x14ac:dyDescent="0.2">
      <c r="A123" s="441" t="s">
        <v>234</v>
      </c>
      <c r="B123" s="441">
        <v>0</v>
      </c>
      <c r="D123" t="str">
        <f>IFERROR(VLOOKUP(A123,Сводная!W:AA,4,0),SUBSTITUTE(B123,",",""))</f>
        <v>0</v>
      </c>
    </row>
    <row r="124" spans="1:4" x14ac:dyDescent="0.2">
      <c r="A124" s="441" t="s">
        <v>235</v>
      </c>
      <c r="B124" s="441">
        <v>0</v>
      </c>
      <c r="D124" t="str">
        <f>IFERROR(VLOOKUP(A124,Сводная!W:AA,4,0),SUBSTITUTE(B124,",",""))</f>
        <v>0</v>
      </c>
    </row>
    <row r="125" spans="1:4" x14ac:dyDescent="0.2">
      <c r="A125" s="441" t="s">
        <v>236</v>
      </c>
      <c r="B125" s="441">
        <v>0</v>
      </c>
      <c r="D125" t="str">
        <f>IFERROR(VLOOKUP(A125,Сводная!W:AA,4,0),SUBSTITUTE(B125,",",""))</f>
        <v>0</v>
      </c>
    </row>
    <row r="126" spans="1:4" x14ac:dyDescent="0.2">
      <c r="A126" s="441" t="s">
        <v>237</v>
      </c>
      <c r="B126" s="441">
        <v>6</v>
      </c>
      <c r="D126" t="str">
        <f>IFERROR(VLOOKUP(A126,Сводная!W:AA,4,0),SUBSTITUTE(B126,",",""))</f>
        <v>6</v>
      </c>
    </row>
    <row r="127" spans="1:4" x14ac:dyDescent="0.2">
      <c r="A127" s="441" t="s">
        <v>238</v>
      </c>
      <c r="B127" s="441">
        <v>12</v>
      </c>
      <c r="D127" t="str">
        <f>IFERROR(VLOOKUP(A127,Сводная!W:AA,4,0),SUBSTITUTE(B127,",",""))</f>
        <v>12</v>
      </c>
    </row>
    <row r="128" spans="1:4" x14ac:dyDescent="0.2">
      <c r="A128" s="441" t="s">
        <v>239</v>
      </c>
      <c r="B128" s="441">
        <v>0</v>
      </c>
      <c r="D128" t="str">
        <f>IFERROR(VLOOKUP(A128,Сводная!W:AA,4,0),SUBSTITUTE(B128,",",""))</f>
        <v>0</v>
      </c>
    </row>
    <row r="129" spans="1:4" x14ac:dyDescent="0.2">
      <c r="A129" s="441" t="s">
        <v>402</v>
      </c>
      <c r="B129" s="441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 x14ac:dyDescent="0.2">
      <c r="A130" s="441" t="s">
        <v>241</v>
      </c>
      <c r="B130" s="441">
        <v>0</v>
      </c>
      <c r="D130" t="str">
        <f>IFERROR(VLOOKUP(A130,Сводная!W:AA,4,0),SUBSTITUTE(B130,",",""))</f>
        <v>0</v>
      </c>
    </row>
    <row r="131" spans="1:4" x14ac:dyDescent="0.2">
      <c r="A131" s="441" t="s">
        <v>242</v>
      </c>
      <c r="B131" s="441">
        <v>0</v>
      </c>
      <c r="D131" t="str">
        <f>IFERROR(VLOOKUP(A131,Сводная!W:AA,4,0),SUBSTITUTE(B131,",",""))</f>
        <v>0</v>
      </c>
    </row>
    <row r="132" spans="1:4" x14ac:dyDescent="0.2">
      <c r="A132" s="441" t="s">
        <v>243</v>
      </c>
      <c r="B132" s="441">
        <v>0</v>
      </c>
      <c r="D132" t="str">
        <f>IFERROR(VLOOKUP(A132,Сводная!W:AA,4,0),SUBSTITUTE(B132,",",""))</f>
        <v>0</v>
      </c>
    </row>
    <row r="133" spans="1:4" x14ac:dyDescent="0.2">
      <c r="A133" s="441" t="s">
        <v>244</v>
      </c>
      <c r="B133" s="441">
        <v>0</v>
      </c>
      <c r="D133" t="str">
        <f>IFERROR(VLOOKUP(A133,Сводная!W:AA,4,0),SUBSTITUTE(B133,",",""))</f>
        <v>0</v>
      </c>
    </row>
    <row r="134" spans="1:4" x14ac:dyDescent="0.2">
      <c r="A134" s="441" t="s">
        <v>245</v>
      </c>
      <c r="B134" s="441">
        <v>0</v>
      </c>
      <c r="D134" t="str">
        <f>IFERROR(VLOOKUP(A134,Сводная!W:AA,4,0),SUBSTITUTE(B134,",",""))</f>
        <v>0</v>
      </c>
    </row>
    <row r="135" spans="1:4" x14ac:dyDescent="0.2">
      <c r="A135" s="441" t="s">
        <v>246</v>
      </c>
      <c r="B135" s="441">
        <v>0</v>
      </c>
      <c r="D135" t="str">
        <f>IFERROR(VLOOKUP(A135,Сводная!W:AA,4,0),SUBSTITUTE(B135,",",""))</f>
        <v>0</v>
      </c>
    </row>
    <row r="136" spans="1:4" x14ac:dyDescent="0.2">
      <c r="A136" s="441" t="s">
        <v>247</v>
      </c>
      <c r="B136" s="441">
        <v>0</v>
      </c>
      <c r="D136" t="str">
        <f>IFERROR(VLOOKUP(A136,Сводная!W:AA,4,0),SUBSTITUTE(B136,",",""))</f>
        <v>0</v>
      </c>
    </row>
    <row r="137" spans="1:4" x14ac:dyDescent="0.2">
      <c r="A137" s="441" t="s">
        <v>248</v>
      </c>
      <c r="B137" s="441">
        <v>0</v>
      </c>
      <c r="D137" t="str">
        <f>IFERROR(VLOOKUP(A137,Сводная!W:AA,4,0),SUBSTITUTE(B137,",",""))</f>
        <v>0</v>
      </c>
    </row>
    <row r="138" spans="1:4" x14ac:dyDescent="0.2">
      <c r="A138" s="441" t="s">
        <v>249</v>
      </c>
      <c r="B138" s="441">
        <v>0</v>
      </c>
      <c r="D138" t="str">
        <f>IFERROR(VLOOKUP(A138,Сводная!W:AA,4,0),SUBSTITUTE(B138,",",""))</f>
        <v>0</v>
      </c>
    </row>
    <row r="139" spans="1:4" x14ac:dyDescent="0.2">
      <c r="A139" s="441" t="s">
        <v>250</v>
      </c>
      <c r="B139" s="441">
        <v>0</v>
      </c>
      <c r="D139" t="str">
        <f>IFERROR(VLOOKUP(A139,Сводная!W:AA,4,0),SUBSTITUTE(B139,",",""))</f>
        <v>0</v>
      </c>
    </row>
    <row r="140" spans="1:4" x14ac:dyDescent="0.2">
      <c r="A140" s="441" t="s">
        <v>251</v>
      </c>
      <c r="B140" s="441">
        <v>0</v>
      </c>
      <c r="D140" t="str">
        <f>IFERROR(VLOOKUP(A140,Сводная!W:AA,4,0),SUBSTITUTE(B140,",",""))</f>
        <v>0</v>
      </c>
    </row>
    <row r="141" spans="1:4" x14ac:dyDescent="0.2">
      <c r="A141" s="441" t="s">
        <v>252</v>
      </c>
      <c r="B141" s="441">
        <v>0</v>
      </c>
      <c r="D141" t="str">
        <f>IFERROR(VLOOKUP(A141,Сводная!W:AA,4,0),SUBSTITUTE(B141,",",""))</f>
        <v>0</v>
      </c>
    </row>
    <row r="142" spans="1:4" x14ac:dyDescent="0.2">
      <c r="A142" s="441" t="s">
        <v>253</v>
      </c>
      <c r="B142" s="441">
        <v>0</v>
      </c>
      <c r="D142" t="str">
        <f>IFERROR(VLOOKUP(A142,Сводная!W:AA,4,0),SUBSTITUTE(B142,",",""))</f>
        <v>0</v>
      </c>
    </row>
    <row r="143" spans="1:4" x14ac:dyDescent="0.2">
      <c r="A143" s="441" t="s">
        <v>254</v>
      </c>
      <c r="B143" s="441">
        <v>0</v>
      </c>
      <c r="D143" t="str">
        <f>IFERROR(VLOOKUP(A143,Сводная!W:AA,4,0),SUBSTITUTE(B143,",",""))</f>
        <v>0</v>
      </c>
    </row>
    <row r="144" spans="1:4" x14ac:dyDescent="0.2">
      <c r="A144" s="441" t="s">
        <v>255</v>
      </c>
      <c r="B144" s="441">
        <v>0</v>
      </c>
      <c r="D144" t="str">
        <f>IFERROR(VLOOKUP(A144,Сводная!W:AA,4,0),SUBSTITUTE(B144,",",""))</f>
        <v>0</v>
      </c>
    </row>
    <row r="145" spans="1:4" x14ac:dyDescent="0.2">
      <c r="A145" s="441" t="s">
        <v>256</v>
      </c>
      <c r="B145" s="441">
        <v>0</v>
      </c>
      <c r="D145" t="str">
        <f>IFERROR(VLOOKUP(A145,Сводная!W:AA,4,0),SUBSTITUTE(B145,",",""))</f>
        <v>0</v>
      </c>
    </row>
    <row r="146" spans="1:4" x14ac:dyDescent="0.2">
      <c r="A146" s="441" t="s">
        <v>257</v>
      </c>
      <c r="B146" s="441">
        <v>0</v>
      </c>
      <c r="D146" t="str">
        <f>IFERROR(VLOOKUP(A146,Сводная!W:AA,4,0),SUBSTITUTE(B146,",",""))</f>
        <v>0</v>
      </c>
    </row>
    <row r="147" spans="1:4" x14ac:dyDescent="0.2">
      <c r="A147" s="441" t="s">
        <v>258</v>
      </c>
      <c r="B147" s="441">
        <v>0</v>
      </c>
      <c r="D147" t="str">
        <f>IFERROR(VLOOKUP(A147,Сводная!W:AA,4,0),SUBSTITUTE(B147,",",""))</f>
        <v>0</v>
      </c>
    </row>
    <row r="148" spans="1:4" x14ac:dyDescent="0.2">
      <c r="A148" s="441" t="s">
        <v>259</v>
      </c>
      <c r="B148" s="441">
        <v>0</v>
      </c>
      <c r="D148" t="str">
        <f>IFERROR(VLOOKUP(A148,Сводная!W:AA,4,0),SUBSTITUTE(B148,",",""))</f>
        <v>0</v>
      </c>
    </row>
    <row r="149" spans="1:4" x14ac:dyDescent="0.2">
      <c r="A149" s="441" t="s">
        <v>260</v>
      </c>
      <c r="B149" s="441">
        <v>0</v>
      </c>
      <c r="D149" t="str">
        <f>IFERROR(VLOOKUP(A149,Сводная!W:AA,4,0),SUBSTITUTE(B149,",",""))</f>
        <v>0</v>
      </c>
    </row>
    <row r="150" spans="1:4" x14ac:dyDescent="0.2">
      <c r="A150" s="441" t="s">
        <v>403</v>
      </c>
      <c r="B150" s="441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 x14ac:dyDescent="0.2">
      <c r="A151" s="441" t="s">
        <v>262</v>
      </c>
      <c r="B151" s="441">
        <v>0</v>
      </c>
      <c r="D151" t="str">
        <f>IFERROR(VLOOKUP(A151,Сводная!W:AA,4,0),SUBSTITUTE(B151,",",""))</f>
        <v>0</v>
      </c>
    </row>
    <row r="152" spans="1:4" x14ac:dyDescent="0.2">
      <c r="A152" s="441" t="s">
        <v>263</v>
      </c>
      <c r="B152" s="441">
        <v>0</v>
      </c>
      <c r="D152" t="str">
        <f>IFERROR(VLOOKUP(A152,Сводная!W:AA,4,0),SUBSTITUTE(B152,",",""))</f>
        <v>0</v>
      </c>
    </row>
    <row r="153" spans="1:4" x14ac:dyDescent="0.2">
      <c r="A153" s="441" t="s">
        <v>264</v>
      </c>
      <c r="B153" s="441">
        <v>0</v>
      </c>
      <c r="D153" t="str">
        <f>IFERROR(VLOOKUP(A153,Сводная!W:AA,4,0),SUBSTITUTE(B153,",",""))</f>
        <v>0</v>
      </c>
    </row>
    <row r="154" spans="1:4" x14ac:dyDescent="0.2">
      <c r="A154" s="441" t="s">
        <v>265</v>
      </c>
      <c r="B154" s="441">
        <v>0</v>
      </c>
      <c r="D154" t="str">
        <f>IFERROR(VLOOKUP(A154,Сводная!W:AA,4,0),SUBSTITUTE(B154,",",""))</f>
        <v>0</v>
      </c>
    </row>
    <row r="155" spans="1:4" x14ac:dyDescent="0.2">
      <c r="A155" s="441" t="s">
        <v>266</v>
      </c>
      <c r="B155" s="441">
        <v>0</v>
      </c>
      <c r="D155" t="str">
        <f>IFERROR(VLOOKUP(A155,Сводная!W:AA,4,0),SUBSTITUTE(B155,",",""))</f>
        <v>0</v>
      </c>
    </row>
    <row r="156" spans="1:4" x14ac:dyDescent="0.2">
      <c r="A156" s="441" t="s">
        <v>267</v>
      </c>
      <c r="B156" s="441">
        <v>0</v>
      </c>
      <c r="D156" t="str">
        <f>IFERROR(VLOOKUP(A156,Сводная!W:AA,4,0),SUBSTITUTE(B156,",",""))</f>
        <v>0</v>
      </c>
    </row>
    <row r="157" spans="1:4" x14ac:dyDescent="0.2">
      <c r="A157" s="441" t="s">
        <v>268</v>
      </c>
      <c r="B157" s="441">
        <v>0</v>
      </c>
      <c r="D157" t="str">
        <f>IFERROR(VLOOKUP(A157,Сводная!W:AA,4,0),SUBSTITUTE(B157,",",""))</f>
        <v>0</v>
      </c>
    </row>
    <row r="158" spans="1:4" x14ac:dyDescent="0.2">
      <c r="A158" s="441" t="s">
        <v>269</v>
      </c>
      <c r="B158" s="441">
        <v>0</v>
      </c>
      <c r="D158" t="str">
        <f>IFERROR(VLOOKUP(A158,Сводная!W:AA,4,0),SUBSTITUTE(B158,",",""))</f>
        <v>0</v>
      </c>
    </row>
    <row r="159" spans="1:4" x14ac:dyDescent="0.2">
      <c r="A159" s="441" t="s">
        <v>270</v>
      </c>
      <c r="B159" s="441">
        <v>0</v>
      </c>
      <c r="D159" t="str">
        <f>IFERROR(VLOOKUP(A159,Сводная!W:AA,4,0),SUBSTITUTE(B159,",",""))</f>
        <v>0</v>
      </c>
    </row>
    <row r="160" spans="1:4" x14ac:dyDescent="0.2">
      <c r="A160" s="441" t="s">
        <v>271</v>
      </c>
      <c r="B160" s="441">
        <v>0</v>
      </c>
      <c r="D160" t="str">
        <f>IFERROR(VLOOKUP(A160,Сводная!W:AA,4,0),SUBSTITUTE(B160,",",""))</f>
        <v>0</v>
      </c>
    </row>
    <row r="161" spans="1:4" x14ac:dyDescent="0.2">
      <c r="A161" s="441" t="s">
        <v>272</v>
      </c>
      <c r="B161" s="441">
        <v>0</v>
      </c>
      <c r="D161" t="str">
        <f>IFERROR(VLOOKUP(A161,Сводная!W:AA,4,0),SUBSTITUTE(B161,",",""))</f>
        <v>0</v>
      </c>
    </row>
    <row r="162" spans="1:4" x14ac:dyDescent="0.2">
      <c r="A162" s="441" t="s">
        <v>273</v>
      </c>
      <c r="B162" s="441">
        <v>0</v>
      </c>
      <c r="D162" t="str">
        <f>IFERROR(VLOOKUP(A162,Сводная!W:AA,4,0),SUBSTITUTE(B162,",",""))</f>
        <v>0</v>
      </c>
    </row>
    <row r="163" spans="1:4" x14ac:dyDescent="0.2">
      <c r="A163" s="441" t="s">
        <v>274</v>
      </c>
      <c r="B163" s="441">
        <v>0</v>
      </c>
      <c r="D163" t="str">
        <f>IFERROR(VLOOKUP(A163,Сводная!W:AA,4,0),SUBSTITUTE(B163,",",""))</f>
        <v>0</v>
      </c>
    </row>
    <row r="164" spans="1:4" x14ac:dyDescent="0.2">
      <c r="A164" s="441" t="s">
        <v>275</v>
      </c>
      <c r="B164" s="441">
        <v>0</v>
      </c>
      <c r="D164" t="str">
        <f>IFERROR(VLOOKUP(A164,Сводная!W:AA,4,0),SUBSTITUTE(B164,",",""))</f>
        <v>0</v>
      </c>
    </row>
    <row r="165" spans="1:4" x14ac:dyDescent="0.2">
      <c r="A165" s="441" t="s">
        <v>276</v>
      </c>
      <c r="B165" s="441">
        <v>0</v>
      </c>
      <c r="D165" t="str">
        <f>IFERROR(VLOOKUP(A165,Сводная!W:AA,4,0),SUBSTITUTE(B165,",",""))</f>
        <v>0</v>
      </c>
    </row>
    <row r="166" spans="1:4" x14ac:dyDescent="0.2">
      <c r="A166" s="441" t="s">
        <v>277</v>
      </c>
      <c r="B166" s="441">
        <v>0</v>
      </c>
      <c r="D166" t="str">
        <f>IFERROR(VLOOKUP(A166,Сводная!W:AA,4,0),SUBSTITUTE(B166,",",""))</f>
        <v>0</v>
      </c>
    </row>
    <row r="167" spans="1:4" x14ac:dyDescent="0.2">
      <c r="A167" s="441" t="s">
        <v>278</v>
      </c>
      <c r="B167" s="441">
        <v>0</v>
      </c>
      <c r="D167" t="str">
        <f>IFERROR(VLOOKUP(A167,Сводная!W:AA,4,0),SUBSTITUTE(B167,",",""))</f>
        <v>0</v>
      </c>
    </row>
    <row r="168" spans="1:4" x14ac:dyDescent="0.2">
      <c r="A168" s="441" t="s">
        <v>279</v>
      </c>
      <c r="B168" s="441">
        <v>0</v>
      </c>
      <c r="D168" t="str">
        <f>IFERROR(VLOOKUP(A168,Сводная!W:AA,4,0),SUBSTITUTE(B168,",",""))</f>
        <v>0</v>
      </c>
    </row>
    <row r="169" spans="1:4" x14ac:dyDescent="0.2">
      <c r="A169" s="441" t="s">
        <v>280</v>
      </c>
      <c r="B169" s="441">
        <v>0</v>
      </c>
      <c r="D169" t="str">
        <f>IFERROR(VLOOKUP(A169,Сводная!W:AA,4,0),SUBSTITUTE(B169,",",""))</f>
        <v>0</v>
      </c>
    </row>
    <row r="170" spans="1:4" x14ac:dyDescent="0.2">
      <c r="A170" s="441" t="s">
        <v>281</v>
      </c>
      <c r="B170" s="441">
        <v>0</v>
      </c>
      <c r="D170" t="str">
        <f>IFERROR(VLOOKUP(A170,Сводная!W:AA,4,0),SUBSTITUTE(B170,",",""))</f>
        <v>0</v>
      </c>
    </row>
    <row r="171" spans="1:4" x14ac:dyDescent="0.2">
      <c r="A171" s="441" t="s">
        <v>282</v>
      </c>
      <c r="B171" s="441">
        <v>0</v>
      </c>
      <c r="D171" t="str">
        <f>IFERROR(VLOOKUP(A171,Сводная!W:AA,4,0),SUBSTITUTE(B171,",",""))</f>
        <v>0</v>
      </c>
    </row>
    <row r="172" spans="1:4" x14ac:dyDescent="0.2">
      <c r="A172" s="441" t="s">
        <v>283</v>
      </c>
      <c r="B172" s="441">
        <v>0</v>
      </c>
      <c r="D172" t="str">
        <f>IFERROR(VLOOKUP(A172,Сводная!W:AA,4,0),SUBSTITUTE(B172,",",""))</f>
        <v>0</v>
      </c>
    </row>
    <row r="173" spans="1:4" x14ac:dyDescent="0.2">
      <c r="A173" s="441" t="s">
        <v>284</v>
      </c>
      <c r="B173" s="441">
        <v>0</v>
      </c>
      <c r="D173" t="str">
        <f>IFERROR(VLOOKUP(A173,Сводная!W:AA,4,0),SUBSTITUTE(B173,",",""))</f>
        <v>0</v>
      </c>
    </row>
    <row r="174" spans="1:4" x14ac:dyDescent="0.2">
      <c r="A174" s="441" t="s">
        <v>285</v>
      </c>
      <c r="B174" s="441">
        <v>0</v>
      </c>
      <c r="D174" t="str">
        <f>IFERROR(VLOOKUP(A174,Сводная!W:AA,4,0),SUBSTITUTE(B174,",",""))</f>
        <v>0</v>
      </c>
    </row>
    <row r="175" spans="1:4" x14ac:dyDescent="0.2">
      <c r="A175" s="441" t="s">
        <v>286</v>
      </c>
      <c r="B175" s="441">
        <v>0</v>
      </c>
      <c r="D175" t="str">
        <f>IFERROR(VLOOKUP(A175,Сводная!W:AA,4,0),SUBSTITUTE(B175,",",""))</f>
        <v>0</v>
      </c>
    </row>
    <row r="176" spans="1:4" x14ac:dyDescent="0.2">
      <c r="A176" s="441" t="s">
        <v>287</v>
      </c>
      <c r="B176" s="441">
        <v>0</v>
      </c>
      <c r="D176" t="str">
        <f>IFERROR(VLOOKUP(A176,Сводная!W:AA,4,0),SUBSTITUTE(B176,",",""))</f>
        <v>0</v>
      </c>
    </row>
    <row r="177" spans="1:4" x14ac:dyDescent="0.2">
      <c r="A177" s="441" t="s">
        <v>288</v>
      </c>
      <c r="B177" s="441">
        <v>0</v>
      </c>
      <c r="D177" t="str">
        <f>IFERROR(VLOOKUP(A177,Сводная!W:AA,4,0),SUBSTITUTE(B177,",",""))</f>
        <v>0</v>
      </c>
    </row>
    <row r="178" spans="1:4" x14ac:dyDescent="0.2">
      <c r="A178" s="441" t="s">
        <v>289</v>
      </c>
      <c r="B178" s="441">
        <v>0</v>
      </c>
      <c r="D178" t="str">
        <f>IFERROR(VLOOKUP(A178,Сводная!W:AA,4,0),SUBSTITUTE(B178,",",""))</f>
        <v>0</v>
      </c>
    </row>
    <row r="179" spans="1:4" x14ac:dyDescent="0.2">
      <c r="A179" s="441" t="s">
        <v>290</v>
      </c>
      <c r="B179" s="441">
        <v>0</v>
      </c>
      <c r="D179" t="str">
        <f>IFERROR(VLOOKUP(A179,Сводная!W:AA,4,0),SUBSTITUTE(B179,",",""))</f>
        <v>0</v>
      </c>
    </row>
    <row r="180" spans="1:4" x14ac:dyDescent="0.2">
      <c r="A180" s="441" t="s">
        <v>291</v>
      </c>
      <c r="B180" s="441">
        <v>0</v>
      </c>
      <c r="D180" t="str">
        <f>IFERROR(VLOOKUP(A180,Сводная!W:AA,4,0),SUBSTITUTE(B180,",",""))</f>
        <v>0</v>
      </c>
    </row>
    <row r="181" spans="1:4" x14ac:dyDescent="0.2">
      <c r="A181" s="441" t="s">
        <v>292</v>
      </c>
      <c r="B181" s="441">
        <v>0</v>
      </c>
      <c r="D181" t="str">
        <f>IFERROR(VLOOKUP(A181,Сводная!W:AA,4,0),SUBSTITUTE(B181,",",""))</f>
        <v>0</v>
      </c>
    </row>
    <row r="182" spans="1:4" x14ac:dyDescent="0.2">
      <c r="A182" s="441" t="s">
        <v>293</v>
      </c>
      <c r="B182" s="441">
        <v>0</v>
      </c>
      <c r="D182" t="str">
        <f>IFERROR(VLOOKUP(A182,Сводная!W:AA,4,0),SUBSTITUTE(B182,",",""))</f>
        <v>0</v>
      </c>
    </row>
    <row r="183" spans="1:4" x14ac:dyDescent="0.2">
      <c r="A183" s="441" t="s">
        <v>294</v>
      </c>
      <c r="B183" s="441">
        <v>0</v>
      </c>
      <c r="D183" t="str">
        <f>IFERROR(VLOOKUP(A183,Сводная!W:AA,4,0),SUBSTITUTE(B183,",",""))</f>
        <v>0</v>
      </c>
    </row>
    <row r="184" spans="1:4" x14ac:dyDescent="0.2">
      <c r="A184" s="441" t="s">
        <v>295</v>
      </c>
      <c r="B184" s="441">
        <v>0</v>
      </c>
      <c r="D184" t="str">
        <f>IFERROR(VLOOKUP(A184,Сводная!W:AA,4,0),SUBSTITUTE(B184,",",""))</f>
        <v>0</v>
      </c>
    </row>
    <row r="185" spans="1:4" x14ac:dyDescent="0.2">
      <c r="A185" s="441" t="s">
        <v>296</v>
      </c>
      <c r="B185" s="441">
        <v>0</v>
      </c>
      <c r="D185" t="str">
        <f>IFERROR(VLOOKUP(A185,Сводная!W:AA,4,0),SUBSTITUTE(B185,",",""))</f>
        <v>0</v>
      </c>
    </row>
    <row r="186" spans="1:4" x14ac:dyDescent="0.2">
      <c r="A186" s="441" t="s">
        <v>297</v>
      </c>
      <c r="B186" s="441">
        <v>0</v>
      </c>
      <c r="D186" t="str">
        <f>IFERROR(VLOOKUP(A186,Сводная!W:AA,4,0),SUBSTITUTE(B186,",",""))</f>
        <v>0</v>
      </c>
    </row>
    <row r="187" spans="1:4" x14ac:dyDescent="0.2">
      <c r="A187" s="441" t="s">
        <v>298</v>
      </c>
      <c r="B187" s="441">
        <v>0</v>
      </c>
      <c r="D187" t="str">
        <f>IFERROR(VLOOKUP(A187,Сводная!W:AA,4,0),SUBSTITUTE(B187,",",""))</f>
        <v>0</v>
      </c>
    </row>
    <row r="188" spans="1:4" x14ac:dyDescent="0.2">
      <c r="A188" s="441" t="s">
        <v>299</v>
      </c>
      <c r="B188" s="441">
        <v>0</v>
      </c>
      <c r="D188" t="str">
        <f>IFERROR(VLOOKUP(A188,Сводная!W:AA,4,0),SUBSTITUTE(B188,",",""))</f>
        <v>0</v>
      </c>
    </row>
    <row r="189" spans="1:4" x14ac:dyDescent="0.2">
      <c r="A189" s="441" t="s">
        <v>300</v>
      </c>
      <c r="B189" s="441">
        <v>0</v>
      </c>
      <c r="D189" t="str">
        <f>IFERROR(VLOOKUP(A189,Сводная!W:AA,4,0),SUBSTITUTE(B189,",",""))</f>
        <v>0</v>
      </c>
    </row>
    <row r="190" spans="1:4" x14ac:dyDescent="0.2">
      <c r="A190" s="441" t="s">
        <v>301</v>
      </c>
      <c r="B190" s="441">
        <v>0</v>
      </c>
      <c r="D190" t="str">
        <f>IFERROR(VLOOKUP(A190,Сводная!W:AA,4,0),SUBSTITUTE(B190,",",""))</f>
        <v>0</v>
      </c>
    </row>
    <row r="191" spans="1:4" x14ac:dyDescent="0.2">
      <c r="A191" s="441" t="s">
        <v>404</v>
      </c>
      <c r="B191" s="441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 x14ac:dyDescent="0.2">
      <c r="A192" s="441" t="s">
        <v>303</v>
      </c>
      <c r="B192" s="441">
        <v>0</v>
      </c>
      <c r="D192" t="str">
        <f>IFERROR(VLOOKUP(A192,Сводная!W:AA,4,0),SUBSTITUTE(B192,",",""))</f>
        <v>0</v>
      </c>
    </row>
    <row r="193" spans="1:4" x14ac:dyDescent="0.2">
      <c r="A193" s="441" t="s">
        <v>304</v>
      </c>
      <c r="B193" s="441">
        <v>0</v>
      </c>
      <c r="D193" t="str">
        <f>IFERROR(VLOOKUP(A193,Сводная!W:AA,4,0),SUBSTITUTE(B193,",",""))</f>
        <v>0</v>
      </c>
    </row>
    <row r="194" spans="1:4" x14ac:dyDescent="0.2">
      <c r="A194" s="441" t="s">
        <v>305</v>
      </c>
      <c r="B194" s="441">
        <v>0</v>
      </c>
      <c r="D194" t="str">
        <f>IFERROR(VLOOKUP(A194,Сводная!W:AA,4,0),SUBSTITUTE(B194,",",""))</f>
        <v>0</v>
      </c>
    </row>
    <row r="195" spans="1:4" x14ac:dyDescent="0.2">
      <c r="A195" s="441" t="s">
        <v>306</v>
      </c>
      <c r="B195" s="441">
        <v>0</v>
      </c>
      <c r="D195" t="str">
        <f>IFERROR(VLOOKUP(A195,Сводная!W:AA,4,0),SUBSTITUTE(B195,",",""))</f>
        <v>0</v>
      </c>
    </row>
    <row r="196" spans="1:4" x14ac:dyDescent="0.2">
      <c r="A196" s="441" t="s">
        <v>307</v>
      </c>
      <c r="B196" s="441">
        <v>0</v>
      </c>
      <c r="D196" t="str">
        <f>IFERROR(VLOOKUP(A196,Сводная!W:AA,4,0),SUBSTITUTE(B196,",",""))</f>
        <v>0</v>
      </c>
    </row>
    <row r="197" spans="1:4" x14ac:dyDescent="0.2">
      <c r="A197" s="441" t="s">
        <v>308</v>
      </c>
      <c r="B197" s="441">
        <v>0</v>
      </c>
      <c r="D197" t="str">
        <f>IFERROR(VLOOKUP(A197,Сводная!W:AA,4,0),SUBSTITUTE(B197,",",""))</f>
        <v>0</v>
      </c>
    </row>
    <row r="198" spans="1:4" x14ac:dyDescent="0.2">
      <c r="A198" s="441" t="s">
        <v>309</v>
      </c>
      <c r="B198" s="441">
        <v>0</v>
      </c>
      <c r="D198" t="str">
        <f>IFERROR(VLOOKUP(A198,Сводная!W:AA,4,0),SUBSTITUTE(B198,",",""))</f>
        <v>0</v>
      </c>
    </row>
    <row r="199" spans="1:4" x14ac:dyDescent="0.2">
      <c r="A199" s="441" t="s">
        <v>310</v>
      </c>
      <c r="B199" s="441">
        <v>0</v>
      </c>
      <c r="D199" t="str">
        <f>IFERROR(VLOOKUP(A199,Сводная!W:AA,4,0),SUBSTITUTE(B199,",",""))</f>
        <v>0</v>
      </c>
    </row>
    <row r="200" spans="1:4" x14ac:dyDescent="0.2">
      <c r="A200" s="441" t="s">
        <v>311</v>
      </c>
      <c r="B200" s="441">
        <v>0</v>
      </c>
      <c r="D200" t="str">
        <f>IFERROR(VLOOKUP(A200,Сводная!W:AA,4,0),SUBSTITUTE(B200,",",""))</f>
        <v>0</v>
      </c>
    </row>
    <row r="201" spans="1:4" x14ac:dyDescent="0.2">
      <c r="A201" s="441" t="s">
        <v>312</v>
      </c>
      <c r="B201" s="441">
        <v>0</v>
      </c>
      <c r="D201" t="str">
        <f>IFERROR(VLOOKUP(A201,Сводная!W:AA,4,0),SUBSTITUTE(B201,",",""))</f>
        <v>0</v>
      </c>
    </row>
    <row r="202" spans="1:4" x14ac:dyDescent="0.2">
      <c r="A202" s="441" t="s">
        <v>313</v>
      </c>
      <c r="B202" s="441">
        <v>0</v>
      </c>
      <c r="D202" t="str">
        <f>IFERROR(VLOOKUP(A202,Сводная!W:AA,4,0),SUBSTITUTE(B202,",",""))</f>
        <v>0</v>
      </c>
    </row>
    <row r="203" spans="1:4" x14ac:dyDescent="0.2">
      <c r="A203" s="441" t="s">
        <v>314</v>
      </c>
      <c r="B203" s="441">
        <v>0</v>
      </c>
      <c r="D203" t="str">
        <f>IFERROR(VLOOKUP(A203,Сводная!W:AA,4,0),SUBSTITUTE(B203,",",""))</f>
        <v>0</v>
      </c>
    </row>
    <row r="204" spans="1:4" x14ac:dyDescent="0.2">
      <c r="A204" s="441" t="s">
        <v>315</v>
      </c>
      <c r="B204" s="441">
        <v>0</v>
      </c>
      <c r="D204" t="str">
        <f>IFERROR(VLOOKUP(A204,Сводная!W:AA,4,0),SUBSTITUTE(B204,",",""))</f>
        <v>0</v>
      </c>
    </row>
    <row r="205" spans="1:4" x14ac:dyDescent="0.2">
      <c r="A205" s="441" t="s">
        <v>316</v>
      </c>
      <c r="B205" s="441">
        <v>0</v>
      </c>
      <c r="D205" t="str">
        <f>IFERROR(VLOOKUP(A205,Сводная!W:AA,4,0),SUBSTITUTE(B205,",",""))</f>
        <v>0</v>
      </c>
    </row>
    <row r="206" spans="1:4" x14ac:dyDescent="0.2">
      <c r="A206" s="441" t="s">
        <v>317</v>
      </c>
      <c r="B206" s="441">
        <v>0</v>
      </c>
      <c r="D206" t="str">
        <f>IFERROR(VLOOKUP(A206,Сводная!W:AA,4,0),SUBSTITUTE(B206,",",""))</f>
        <v>0</v>
      </c>
    </row>
    <row r="207" spans="1:4" x14ac:dyDescent="0.2">
      <c r="A207" s="441" t="s">
        <v>318</v>
      </c>
      <c r="B207" s="441">
        <v>0</v>
      </c>
      <c r="D207" t="str">
        <f>IFERROR(VLOOKUP(A207,Сводная!W:AA,4,0),SUBSTITUTE(B207,",",""))</f>
        <v>0</v>
      </c>
    </row>
    <row r="208" spans="1:4" x14ac:dyDescent="0.2">
      <c r="A208" s="441" t="s">
        <v>319</v>
      </c>
      <c r="B208" s="441">
        <v>0</v>
      </c>
      <c r="D208" t="str">
        <f>IFERROR(VLOOKUP(A208,Сводная!W:AA,4,0),SUBSTITUTE(B208,",",""))</f>
        <v>0</v>
      </c>
    </row>
    <row r="209" spans="1:4" x14ac:dyDescent="0.2">
      <c r="A209" s="441" t="s">
        <v>320</v>
      </c>
      <c r="B209" s="441">
        <v>0</v>
      </c>
      <c r="D209" t="str">
        <f>IFERROR(VLOOKUP(A209,Сводная!W:AA,4,0),SUBSTITUTE(B209,",",""))</f>
        <v>0</v>
      </c>
    </row>
    <row r="210" spans="1:4" x14ac:dyDescent="0.2">
      <c r="A210" s="441" t="s">
        <v>321</v>
      </c>
      <c r="B210" s="441">
        <v>0</v>
      </c>
      <c r="D210" t="str">
        <f>IFERROR(VLOOKUP(A210,Сводная!W:AA,4,0),SUBSTITUTE(B210,",",""))</f>
        <v>0</v>
      </c>
    </row>
    <row r="211" spans="1:4" x14ac:dyDescent="0.2">
      <c r="A211" s="441" t="s">
        <v>322</v>
      </c>
      <c r="B211" s="441">
        <v>0</v>
      </c>
      <c r="D211" t="str">
        <f>IFERROR(VLOOKUP(A211,Сводная!W:AA,4,0),SUBSTITUTE(B211,",",""))</f>
        <v>0</v>
      </c>
    </row>
    <row r="212" spans="1:4" x14ac:dyDescent="0.2">
      <c r="A212" s="441" t="s">
        <v>405</v>
      </c>
      <c r="B212" s="441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 x14ac:dyDescent="0.2">
      <c r="A213" s="441" t="s">
        <v>324</v>
      </c>
      <c r="B213" s="441">
        <v>0</v>
      </c>
      <c r="D213" t="str">
        <f>IFERROR(VLOOKUP(A213,Сводная!W:AA,4,0),SUBSTITUTE(B213,",",""))</f>
        <v>0</v>
      </c>
    </row>
    <row r="214" spans="1:4" x14ac:dyDescent="0.2">
      <c r="A214" s="441" t="s">
        <v>325</v>
      </c>
      <c r="B214" s="441">
        <v>0</v>
      </c>
      <c r="D214" t="str">
        <f>IFERROR(VLOOKUP(A214,Сводная!W:AA,4,0),SUBSTITUTE(B214,",",""))</f>
        <v>0</v>
      </c>
    </row>
    <row r="215" spans="1:4" x14ac:dyDescent="0.2">
      <c r="A215" s="441" t="s">
        <v>326</v>
      </c>
      <c r="B215" s="441">
        <v>0</v>
      </c>
      <c r="D215" t="str">
        <f>IFERROR(VLOOKUP(A215,Сводная!W:AA,4,0),SUBSTITUTE(B215,",",""))</f>
        <v>0</v>
      </c>
    </row>
    <row r="216" spans="1:4" x14ac:dyDescent="0.2">
      <c r="A216" s="441" t="s">
        <v>327</v>
      </c>
      <c r="B216" s="441">
        <v>0</v>
      </c>
      <c r="D216" t="str">
        <f>IFERROR(VLOOKUP(A216,Сводная!W:AA,4,0),SUBSTITUTE(B216,",",""))</f>
        <v>0</v>
      </c>
    </row>
    <row r="217" spans="1:4" x14ac:dyDescent="0.2">
      <c r="A217" s="441" t="s">
        <v>328</v>
      </c>
      <c r="B217" s="441">
        <v>0</v>
      </c>
      <c r="D217" t="str">
        <f>IFERROR(VLOOKUP(A217,Сводная!W:AA,4,0),SUBSTITUTE(B217,",",""))</f>
        <v>0</v>
      </c>
    </row>
    <row r="218" spans="1:4" x14ac:dyDescent="0.2">
      <c r="A218" s="441" t="s">
        <v>329</v>
      </c>
      <c r="B218" s="441">
        <v>0</v>
      </c>
      <c r="D218" t="str">
        <f>IFERROR(VLOOKUP(A218,Сводная!W:AA,4,0),SUBSTITUTE(B218,",",""))</f>
        <v>0</v>
      </c>
    </row>
    <row r="219" spans="1:4" x14ac:dyDescent="0.2">
      <c r="A219" s="441" t="s">
        <v>330</v>
      </c>
      <c r="B219" s="441">
        <v>0</v>
      </c>
      <c r="D219" t="str">
        <f>IFERROR(VLOOKUP(A219,Сводная!W:AA,4,0),SUBSTITUTE(B219,",",""))</f>
        <v>0</v>
      </c>
    </row>
    <row r="220" spans="1:4" x14ac:dyDescent="0.2">
      <c r="A220" s="441" t="s">
        <v>331</v>
      </c>
      <c r="B220" s="441">
        <v>0</v>
      </c>
      <c r="D220" t="str">
        <f>IFERROR(VLOOKUP(A220,Сводная!W:AA,4,0),SUBSTITUTE(B220,",",""))</f>
        <v>0</v>
      </c>
    </row>
    <row r="221" spans="1:4" x14ac:dyDescent="0.2">
      <c r="A221" s="441" t="s">
        <v>332</v>
      </c>
      <c r="B221" s="441">
        <v>0</v>
      </c>
      <c r="D221" t="str">
        <f>IFERROR(VLOOKUP(A221,Сводная!W:AA,4,0),SUBSTITUTE(B221,",",""))</f>
        <v>0</v>
      </c>
    </row>
    <row r="222" spans="1:4" x14ac:dyDescent="0.2">
      <c r="A222" s="441" t="s">
        <v>333</v>
      </c>
      <c r="B222" s="441">
        <v>0</v>
      </c>
      <c r="D222" t="str">
        <f>IFERROR(VLOOKUP(A222,Сводная!W:AA,4,0),SUBSTITUTE(B222,",",""))</f>
        <v>0</v>
      </c>
    </row>
    <row r="223" spans="1:4" x14ac:dyDescent="0.2">
      <c r="A223" s="441" t="s">
        <v>334</v>
      </c>
      <c r="B223" s="441">
        <v>0</v>
      </c>
      <c r="D223" t="str">
        <f>IFERROR(VLOOKUP(A223,Сводная!W:AA,4,0),SUBSTITUTE(B223,",",""))</f>
        <v>0</v>
      </c>
    </row>
    <row r="224" spans="1:4" x14ac:dyDescent="0.2">
      <c r="A224" s="441" t="s">
        <v>335</v>
      </c>
      <c r="B224" s="441">
        <v>0</v>
      </c>
      <c r="D224" t="str">
        <f>IFERROR(VLOOKUP(A224,Сводная!W:AA,4,0),SUBSTITUTE(B224,",",""))</f>
        <v>0</v>
      </c>
    </row>
    <row r="225" spans="1:4" x14ac:dyDescent="0.2">
      <c r="A225" s="441" t="s">
        <v>336</v>
      </c>
      <c r="B225" s="441">
        <v>0</v>
      </c>
      <c r="D225" t="str">
        <f>IFERROR(VLOOKUP(A225,Сводная!W:AA,4,0),SUBSTITUTE(B225,",",""))</f>
        <v>0</v>
      </c>
    </row>
    <row r="226" spans="1:4" x14ac:dyDescent="0.2">
      <c r="A226" s="441" t="s">
        <v>337</v>
      </c>
      <c r="B226" s="441">
        <v>0</v>
      </c>
      <c r="D226" t="str">
        <f>IFERROR(VLOOKUP(A226,Сводная!W:AA,4,0),SUBSTITUTE(B226,",",""))</f>
        <v>0</v>
      </c>
    </row>
    <row r="227" spans="1:4" x14ac:dyDescent="0.2">
      <c r="A227" s="441" t="s">
        <v>338</v>
      </c>
      <c r="B227" s="441">
        <v>0</v>
      </c>
      <c r="D227" t="str">
        <f>IFERROR(VLOOKUP(A227,Сводная!W:AA,4,0),SUBSTITUTE(B227,",",""))</f>
        <v>0</v>
      </c>
    </row>
    <row r="228" spans="1:4" x14ac:dyDescent="0.2">
      <c r="A228" s="441" t="s">
        <v>339</v>
      </c>
      <c r="B228" s="441">
        <v>0</v>
      </c>
      <c r="D228" t="str">
        <f>IFERROR(VLOOKUP(A228,Сводная!W:AA,4,0),SUBSTITUTE(B228,",",""))</f>
        <v>0</v>
      </c>
    </row>
    <row r="229" spans="1:4" x14ac:dyDescent="0.2">
      <c r="A229" s="441" t="s">
        <v>340</v>
      </c>
      <c r="B229" s="441">
        <v>0</v>
      </c>
      <c r="D229" t="str">
        <f>IFERROR(VLOOKUP(A229,Сводная!W:AA,4,0),SUBSTITUTE(B229,",",""))</f>
        <v>0</v>
      </c>
    </row>
    <row r="230" spans="1:4" x14ac:dyDescent="0.2">
      <c r="A230" s="441" t="s">
        <v>341</v>
      </c>
      <c r="B230" s="441">
        <v>0</v>
      </c>
      <c r="D230" t="str">
        <f>IFERROR(VLOOKUP(A230,Сводная!W:AA,4,0),SUBSTITUTE(B230,",",""))</f>
        <v>0</v>
      </c>
    </row>
    <row r="231" spans="1:4" x14ac:dyDescent="0.2">
      <c r="A231" s="441" t="s">
        <v>342</v>
      </c>
      <c r="B231" s="441">
        <v>0</v>
      </c>
      <c r="D231" t="str">
        <f>IFERROR(VLOOKUP(A231,Сводная!W:AA,4,0),SUBSTITUTE(B231,",",""))</f>
        <v>0</v>
      </c>
    </row>
    <row r="232" spans="1:4" x14ac:dyDescent="0.2">
      <c r="A232" s="441" t="s">
        <v>343</v>
      </c>
      <c r="B232" s="441">
        <v>0</v>
      </c>
      <c r="D232" t="str">
        <f>IFERROR(VLOOKUP(A232,Сводная!W:AA,4,0),SUBSTITUTE(B232,",",""))</f>
        <v>0</v>
      </c>
    </row>
    <row r="233" spans="1:4" x14ac:dyDescent="0.2">
      <c r="A233" s="441" t="s">
        <v>344</v>
      </c>
      <c r="B233" s="441">
        <v>0</v>
      </c>
      <c r="D233" t="str">
        <f>IFERROR(VLOOKUP(A233,Сводная!W:AA,4,0),SUBSTITUTE(B233,",",""))</f>
        <v>0</v>
      </c>
    </row>
    <row r="234" spans="1:4" x14ac:dyDescent="0.2">
      <c r="A234" s="441" t="s">
        <v>345</v>
      </c>
      <c r="B234" s="441">
        <v>0</v>
      </c>
      <c r="D234" t="str">
        <f>IFERROR(VLOOKUP(A234,Сводная!W:AA,4,0),SUBSTITUTE(B234,",",""))</f>
        <v>0</v>
      </c>
    </row>
    <row r="235" spans="1:4" x14ac:dyDescent="0.2">
      <c r="A235" s="441" t="s">
        <v>346</v>
      </c>
      <c r="B235" s="441">
        <v>0</v>
      </c>
      <c r="D235" t="str">
        <f>IFERROR(VLOOKUP(A235,Сводная!W:AA,4,0),SUBSTITUTE(B235,",",""))</f>
        <v>0</v>
      </c>
    </row>
    <row r="236" spans="1:4" x14ac:dyDescent="0.2">
      <c r="A236" s="441" t="s">
        <v>347</v>
      </c>
      <c r="B236" s="441">
        <v>0</v>
      </c>
      <c r="D236" t="str">
        <f>IFERROR(VLOOKUP(A236,Сводная!W:AA,4,0),SUBSTITUTE(B236,",",""))</f>
        <v>0</v>
      </c>
    </row>
    <row r="237" spans="1:4" x14ac:dyDescent="0.2">
      <c r="A237" s="441" t="s">
        <v>348</v>
      </c>
      <c r="B237" s="441">
        <v>0</v>
      </c>
      <c r="D237" t="str">
        <f>IFERROR(VLOOKUP(A237,Сводная!W:AA,4,0),SUBSTITUTE(B237,",",""))</f>
        <v>0</v>
      </c>
    </row>
    <row r="238" spans="1:4" x14ac:dyDescent="0.2">
      <c r="A238" s="441" t="s">
        <v>349</v>
      </c>
      <c r="B238" s="441">
        <v>0</v>
      </c>
      <c r="D238" t="str">
        <f>IFERROR(VLOOKUP(A238,Сводная!W:AA,4,0),SUBSTITUTE(B238,",",""))</f>
        <v>0</v>
      </c>
    </row>
    <row r="239" spans="1:4" x14ac:dyDescent="0.2">
      <c r="A239" s="441" t="s">
        <v>350</v>
      </c>
      <c r="B239" s="441">
        <v>0</v>
      </c>
      <c r="D239" t="str">
        <f>IFERROR(VLOOKUP(A239,Сводная!W:AA,4,0),SUBSTITUTE(B239,",",""))</f>
        <v>0</v>
      </c>
    </row>
    <row r="240" spans="1:4" x14ac:dyDescent="0.2">
      <c r="A240" s="441" t="s">
        <v>351</v>
      </c>
      <c r="B240" s="441">
        <v>0</v>
      </c>
      <c r="D240" t="str">
        <f>IFERROR(VLOOKUP(A240,Сводная!W:AA,4,0),SUBSTITUTE(B240,",",""))</f>
        <v>0</v>
      </c>
    </row>
    <row r="241" spans="1:4" x14ac:dyDescent="0.2">
      <c r="A241" s="441" t="s">
        <v>352</v>
      </c>
      <c r="B241" s="441">
        <v>0</v>
      </c>
      <c r="D241" t="str">
        <f>IFERROR(VLOOKUP(A241,Сводная!W:AA,4,0),SUBSTITUTE(B241,",",""))</f>
        <v>0</v>
      </c>
    </row>
    <row r="242" spans="1:4" x14ac:dyDescent="0.2">
      <c r="A242" s="441" t="s">
        <v>353</v>
      </c>
      <c r="B242" s="441">
        <v>0</v>
      </c>
      <c r="D242" t="str">
        <f>IFERROR(VLOOKUP(A242,Сводная!W:AA,4,0),SUBSTITUTE(B242,",",""))</f>
        <v>0</v>
      </c>
    </row>
    <row r="243" spans="1:4" x14ac:dyDescent="0.2">
      <c r="A243" s="441" t="s">
        <v>354</v>
      </c>
      <c r="B243" s="441">
        <v>0</v>
      </c>
      <c r="D243" t="str">
        <f>IFERROR(VLOOKUP(A243,Сводная!W:AA,4,0),SUBSTITUTE(B243,",",""))</f>
        <v>0</v>
      </c>
    </row>
    <row r="244" spans="1:4" x14ac:dyDescent="0.2">
      <c r="A244" s="441" t="s">
        <v>355</v>
      </c>
      <c r="B244" s="441">
        <v>0</v>
      </c>
      <c r="D244" t="str">
        <f>IFERROR(VLOOKUP(A244,Сводная!W:AA,4,0),SUBSTITUTE(B244,",",""))</f>
        <v>0</v>
      </c>
    </row>
    <row r="245" spans="1:4" x14ac:dyDescent="0.2">
      <c r="A245" s="441" t="s">
        <v>356</v>
      </c>
      <c r="B245" s="441">
        <v>0</v>
      </c>
      <c r="D245" t="str">
        <f>IFERROR(VLOOKUP(A245,Сводная!W:AA,4,0),SUBSTITUTE(B245,",",""))</f>
        <v>0</v>
      </c>
    </row>
    <row r="246" spans="1:4" x14ac:dyDescent="0.2">
      <c r="A246" s="441" t="s">
        <v>357</v>
      </c>
      <c r="B246" s="441">
        <v>0</v>
      </c>
      <c r="D246" t="str">
        <f>IFERROR(VLOOKUP(A246,Сводная!W:AA,4,0),SUBSTITUTE(B246,",",""))</f>
        <v>0</v>
      </c>
    </row>
    <row r="247" spans="1:4" x14ac:dyDescent="0.2">
      <c r="A247" s="441" t="s">
        <v>358</v>
      </c>
      <c r="B247" s="441">
        <v>0</v>
      </c>
      <c r="D247" t="str">
        <f>IFERROR(VLOOKUP(A247,Сводная!W:AA,4,0),SUBSTITUTE(B247,",",""))</f>
        <v>0</v>
      </c>
    </row>
    <row r="248" spans="1:4" x14ac:dyDescent="0.2">
      <c r="A248" s="441" t="s">
        <v>359</v>
      </c>
      <c r="B248" s="441">
        <v>0</v>
      </c>
      <c r="D248" t="str">
        <f>IFERROR(VLOOKUP(A248,Сводная!W:AA,4,0),SUBSTITUTE(B248,",",""))</f>
        <v>0</v>
      </c>
    </row>
    <row r="249" spans="1:4" x14ac:dyDescent="0.2">
      <c r="A249" s="441" t="s">
        <v>360</v>
      </c>
      <c r="B249" s="441">
        <v>0</v>
      </c>
      <c r="D249" t="str">
        <f>IFERROR(VLOOKUP(A249,Сводная!W:AA,4,0),SUBSTITUTE(B249,",",""))</f>
        <v>0</v>
      </c>
    </row>
    <row r="250" spans="1:4" x14ac:dyDescent="0.2">
      <c r="A250" s="441" t="s">
        <v>361</v>
      </c>
      <c r="B250" s="441">
        <v>0</v>
      </c>
      <c r="D250" t="str">
        <f>IFERROR(VLOOKUP(A250,Сводная!W:AA,4,0),SUBSTITUTE(B250,",",""))</f>
        <v>0</v>
      </c>
    </row>
    <row r="251" spans="1:4" x14ac:dyDescent="0.2">
      <c r="A251" s="441" t="s">
        <v>362</v>
      </c>
      <c r="B251" s="441">
        <v>0</v>
      </c>
      <c r="D251" t="str">
        <f>IFERROR(VLOOKUP(A251,Сводная!W:AA,4,0),SUBSTITUTE(B251,",",""))</f>
        <v>0</v>
      </c>
    </row>
    <row r="252" spans="1:4" x14ac:dyDescent="0.2">
      <c r="A252" s="441" t="s">
        <v>363</v>
      </c>
      <c r="B252" s="441">
        <v>0</v>
      </c>
      <c r="D252" t="str">
        <f>IFERROR(VLOOKUP(A252,Сводная!W:AA,4,0),SUBSTITUTE(B252,",",""))</f>
        <v>0</v>
      </c>
    </row>
    <row r="253" spans="1:4" x14ac:dyDescent="0.2">
      <c r="A253" s="441" t="s">
        <v>406</v>
      </c>
      <c r="B253" s="441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 x14ac:dyDescent="0.2">
      <c r="A254" s="441" t="s">
        <v>365</v>
      </c>
      <c r="B254" s="441">
        <v>0</v>
      </c>
      <c r="D254" t="str">
        <f>IFERROR(VLOOKUP(A254,Сводная!W:AA,4,0),SUBSTITUTE(B254,",",""))</f>
        <v>0</v>
      </c>
    </row>
    <row r="255" spans="1:4" x14ac:dyDescent="0.2">
      <c r="A255" s="441" t="s">
        <v>366</v>
      </c>
      <c r="B255" s="441">
        <v>0</v>
      </c>
      <c r="D255" t="str">
        <f>IFERROR(VLOOKUP(A255,Сводная!W:AA,4,0),SUBSTITUTE(B255,",",""))</f>
        <v>0</v>
      </c>
    </row>
    <row r="256" spans="1:4" x14ac:dyDescent="0.2">
      <c r="A256" s="441" t="s">
        <v>407</v>
      </c>
      <c r="D256" t="str">
        <f>IFERROR(VLOOKUP(A256,Сводная!W:AA,4,0),SUBSTITUTE(B256,",",""))</f>
        <v/>
      </c>
    </row>
    <row r="257" spans="1:4" x14ac:dyDescent="0.2">
      <c r="A257" s="441" t="s">
        <v>367</v>
      </c>
      <c r="B257" s="441">
        <v>90</v>
      </c>
      <c r="D257" t="str">
        <f>IFERROR(VLOOKUP(A257,Сводная!W:AA,4,0),SUBSTITUTE(B257,",",""))</f>
        <v>90</v>
      </c>
    </row>
    <row r="258" spans="1:4" x14ac:dyDescent="0.2">
      <c r="A258" s="441" t="s">
        <v>368</v>
      </c>
      <c r="B258" s="441">
        <v>3</v>
      </c>
      <c r="D258" t="str">
        <f>IFERROR(VLOOKUP(A258,Сводная!W:AA,4,0),SUBSTITUTE(B258,",",""))</f>
        <v>3</v>
      </c>
    </row>
    <row r="259" spans="1:4" x14ac:dyDescent="0.2">
      <c r="A259" s="441" t="s">
        <v>369</v>
      </c>
      <c r="B259" s="441">
        <v>1609286400</v>
      </c>
      <c r="D259" t="str">
        <f>IFERROR(VLOOKUP(A259,Сводная!W:AA,4,0),SUBSTITUTE(B259,",",""))</f>
        <v>1609286400</v>
      </c>
    </row>
    <row r="260" spans="1:4" x14ac:dyDescent="0.2">
      <c r="A260" s="441" t="s">
        <v>370</v>
      </c>
      <c r="B260" s="441">
        <v>60</v>
      </c>
      <c r="D260" t="str">
        <f>IFERROR(VLOOKUP(A260,Сводная!W:AA,4,0),SUBSTITUTE(B260,",",""))</f>
        <v>60</v>
      </c>
    </row>
    <row r="261" spans="1:4" x14ac:dyDescent="0.2">
      <c r="A261" s="441" t="s">
        <v>371</v>
      </c>
      <c r="B261" s="441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61"/>
  <sheetViews>
    <sheetView zoomScale="85" zoomScaleNormal="85" workbookViewId="0">
      <selection sqref="A1:A261"/>
    </sheetView>
  </sheetViews>
  <sheetFormatPr defaultRowHeight="12.75" x14ac:dyDescent="0.2"/>
  <sheetData>
    <row r="1" spans="1:1" x14ac:dyDescent="0.2">
      <c r="A1" t="s">
        <v>408</v>
      </c>
    </row>
    <row r="2" spans="1:1" x14ac:dyDescent="0.2">
      <c r="A2" t="s">
        <v>641</v>
      </c>
    </row>
    <row r="3" spans="1:1" x14ac:dyDescent="0.2">
      <c r="A3" t="s">
        <v>642</v>
      </c>
    </row>
    <row r="4" spans="1:1" x14ac:dyDescent="0.2">
      <c r="A4" t="s">
        <v>643</v>
      </c>
    </row>
    <row r="5" spans="1:1" x14ac:dyDescent="0.2">
      <c r="A5" t="s">
        <v>644</v>
      </c>
    </row>
    <row r="6" spans="1:1" x14ac:dyDescent="0.2">
      <c r="A6" t="s">
        <v>645</v>
      </c>
    </row>
    <row r="7" spans="1:1" x14ac:dyDescent="0.2">
      <c r="A7" t="s">
        <v>646</v>
      </c>
    </row>
    <row r="8" spans="1:1" x14ac:dyDescent="0.2">
      <c r="A8" t="s">
        <v>409</v>
      </c>
    </row>
    <row r="9" spans="1:1" x14ac:dyDescent="0.2">
      <c r="A9" t="s">
        <v>410</v>
      </c>
    </row>
    <row r="10" spans="1:1" x14ac:dyDescent="0.2">
      <c r="A10" t="s">
        <v>411</v>
      </c>
    </row>
    <row r="11" spans="1:1" x14ac:dyDescent="0.2">
      <c r="A11" t="s">
        <v>412</v>
      </c>
    </row>
    <row r="12" spans="1:1" x14ac:dyDescent="0.2">
      <c r="A12" t="s">
        <v>647</v>
      </c>
    </row>
    <row r="13" spans="1:1" x14ac:dyDescent="0.2">
      <c r="A13" t="s">
        <v>413</v>
      </c>
    </row>
    <row r="14" spans="1:1" x14ac:dyDescent="0.2">
      <c r="A14" t="s">
        <v>414</v>
      </c>
    </row>
    <row r="15" spans="1:1" x14ac:dyDescent="0.2">
      <c r="A15" t="s">
        <v>648</v>
      </c>
    </row>
    <row r="16" spans="1:1" x14ac:dyDescent="0.2">
      <c r="A16" t="s">
        <v>415</v>
      </c>
    </row>
    <row r="17" spans="1:1" x14ac:dyDescent="0.2">
      <c r="A17" t="s">
        <v>416</v>
      </c>
    </row>
    <row r="18" spans="1:1" x14ac:dyDescent="0.2">
      <c r="A18" t="s">
        <v>417</v>
      </c>
    </row>
    <row r="19" spans="1:1" x14ac:dyDescent="0.2">
      <c r="A19" t="s">
        <v>418</v>
      </c>
    </row>
    <row r="20" spans="1:1" x14ac:dyDescent="0.2">
      <c r="A20" t="s">
        <v>419</v>
      </c>
    </row>
    <row r="21" spans="1:1" x14ac:dyDescent="0.2">
      <c r="A21" t="s">
        <v>420</v>
      </c>
    </row>
    <row r="22" spans="1:1" x14ac:dyDescent="0.2">
      <c r="A22" t="s">
        <v>421</v>
      </c>
    </row>
    <row r="23" spans="1:1" x14ac:dyDescent="0.2">
      <c r="A23" t="s">
        <v>422</v>
      </c>
    </row>
    <row r="24" spans="1:1" x14ac:dyDescent="0.2">
      <c r="A24" t="s">
        <v>423</v>
      </c>
    </row>
    <row r="25" spans="1:1" x14ac:dyDescent="0.2">
      <c r="A25" t="s">
        <v>424</v>
      </c>
    </row>
    <row r="26" spans="1:1" x14ac:dyDescent="0.2">
      <c r="A26" t="s">
        <v>425</v>
      </c>
    </row>
    <row r="27" spans="1:1" x14ac:dyDescent="0.2">
      <c r="A27" t="s">
        <v>426</v>
      </c>
    </row>
    <row r="28" spans="1:1" x14ac:dyDescent="0.2">
      <c r="A28" t="s">
        <v>427</v>
      </c>
    </row>
    <row r="29" spans="1:1" x14ac:dyDescent="0.2">
      <c r="A29" t="s">
        <v>428</v>
      </c>
    </row>
    <row r="30" spans="1:1" x14ac:dyDescent="0.2">
      <c r="A30" t="s">
        <v>649</v>
      </c>
    </row>
    <row r="31" spans="1:1" x14ac:dyDescent="0.2">
      <c r="A31" t="s">
        <v>650</v>
      </c>
    </row>
    <row r="32" spans="1:1" x14ac:dyDescent="0.2">
      <c r="A32" t="s">
        <v>429</v>
      </c>
    </row>
    <row r="33" spans="1:1" x14ac:dyDescent="0.2">
      <c r="A33" t="s">
        <v>651</v>
      </c>
    </row>
    <row r="34" spans="1:1" x14ac:dyDescent="0.2">
      <c r="A34" t="s">
        <v>430</v>
      </c>
    </row>
    <row r="35" spans="1:1" x14ac:dyDescent="0.2">
      <c r="A35" t="s">
        <v>652</v>
      </c>
    </row>
    <row r="36" spans="1:1" x14ac:dyDescent="0.2">
      <c r="A36" t="s">
        <v>653</v>
      </c>
    </row>
    <row r="37" spans="1:1" x14ac:dyDescent="0.2">
      <c r="A37" t="s">
        <v>654</v>
      </c>
    </row>
    <row r="38" spans="1:1" x14ac:dyDescent="0.2">
      <c r="A38" t="s">
        <v>655</v>
      </c>
    </row>
    <row r="39" spans="1:1" x14ac:dyDescent="0.2">
      <c r="A39" t="s">
        <v>656</v>
      </c>
    </row>
    <row r="40" spans="1:1" x14ac:dyDescent="0.2">
      <c r="A40" t="s">
        <v>657</v>
      </c>
    </row>
    <row r="41" spans="1:1" x14ac:dyDescent="0.2">
      <c r="A41" t="s">
        <v>658</v>
      </c>
    </row>
    <row r="42" spans="1:1" x14ac:dyDescent="0.2">
      <c r="A42" t="s">
        <v>431</v>
      </c>
    </row>
    <row r="43" spans="1:1" x14ac:dyDescent="0.2">
      <c r="A43" t="s">
        <v>432</v>
      </c>
    </row>
    <row r="44" spans="1:1" x14ac:dyDescent="0.2">
      <c r="A44" t="s">
        <v>659</v>
      </c>
    </row>
    <row r="45" spans="1:1" x14ac:dyDescent="0.2">
      <c r="A45" t="s">
        <v>603</v>
      </c>
    </row>
    <row r="46" spans="1:1" x14ac:dyDescent="0.2">
      <c r="A46" t="s">
        <v>660</v>
      </c>
    </row>
    <row r="47" spans="1:1" x14ac:dyDescent="0.2">
      <c r="A47" t="s">
        <v>661</v>
      </c>
    </row>
    <row r="48" spans="1:1" x14ac:dyDescent="0.2">
      <c r="A48" t="s">
        <v>662</v>
      </c>
    </row>
    <row r="49" spans="1:1" x14ac:dyDescent="0.2">
      <c r="A49" t="s">
        <v>663</v>
      </c>
    </row>
    <row r="50" spans="1:1" x14ac:dyDescent="0.2">
      <c r="A50" t="s">
        <v>664</v>
      </c>
    </row>
    <row r="51" spans="1:1" x14ac:dyDescent="0.2">
      <c r="A51" t="s">
        <v>665</v>
      </c>
    </row>
    <row r="52" spans="1:1" x14ac:dyDescent="0.2">
      <c r="A52" t="s">
        <v>666</v>
      </c>
    </row>
    <row r="53" spans="1:1" x14ac:dyDescent="0.2">
      <c r="A53" t="s">
        <v>667</v>
      </c>
    </row>
    <row r="54" spans="1:1" x14ac:dyDescent="0.2">
      <c r="A54" t="s">
        <v>668</v>
      </c>
    </row>
    <row r="55" spans="1:1" x14ac:dyDescent="0.2">
      <c r="A55" t="s">
        <v>433</v>
      </c>
    </row>
    <row r="56" spans="1:1" x14ac:dyDescent="0.2">
      <c r="A56" t="s">
        <v>434</v>
      </c>
    </row>
    <row r="57" spans="1:1" x14ac:dyDescent="0.2">
      <c r="A57" t="s">
        <v>435</v>
      </c>
    </row>
    <row r="58" spans="1:1" x14ac:dyDescent="0.2">
      <c r="A58" t="s">
        <v>669</v>
      </c>
    </row>
    <row r="59" spans="1:1" x14ac:dyDescent="0.2">
      <c r="A59" t="s">
        <v>670</v>
      </c>
    </row>
    <row r="60" spans="1:1" x14ac:dyDescent="0.2">
      <c r="A60" t="s">
        <v>671</v>
      </c>
    </row>
    <row r="61" spans="1:1" x14ac:dyDescent="0.2">
      <c r="A61" t="s">
        <v>672</v>
      </c>
    </row>
    <row r="62" spans="1:1" x14ac:dyDescent="0.2">
      <c r="A62" t="s">
        <v>673</v>
      </c>
    </row>
    <row r="63" spans="1:1" x14ac:dyDescent="0.2">
      <c r="A63" t="s">
        <v>436</v>
      </c>
    </row>
    <row r="64" spans="1:1" x14ac:dyDescent="0.2">
      <c r="A64" t="s">
        <v>437</v>
      </c>
    </row>
    <row r="65" spans="1:1" x14ac:dyDescent="0.2">
      <c r="A65" t="s">
        <v>438</v>
      </c>
    </row>
    <row r="66" spans="1:1" x14ac:dyDescent="0.2">
      <c r="A66" t="s">
        <v>674</v>
      </c>
    </row>
    <row r="67" spans="1:1" x14ac:dyDescent="0.2">
      <c r="A67" t="s">
        <v>675</v>
      </c>
    </row>
    <row r="68" spans="1:1" x14ac:dyDescent="0.2">
      <c r="A68" t="s">
        <v>439</v>
      </c>
    </row>
    <row r="69" spans="1:1" x14ac:dyDescent="0.2">
      <c r="A69" t="s">
        <v>440</v>
      </c>
    </row>
    <row r="70" spans="1:1" x14ac:dyDescent="0.2">
      <c r="A70" t="s">
        <v>676</v>
      </c>
    </row>
    <row r="71" spans="1:1" x14ac:dyDescent="0.2">
      <c r="A71" t="s">
        <v>677</v>
      </c>
    </row>
    <row r="72" spans="1:1" x14ac:dyDescent="0.2">
      <c r="A72" t="s">
        <v>678</v>
      </c>
    </row>
    <row r="73" spans="1:1" x14ac:dyDescent="0.2">
      <c r="A73" t="s">
        <v>679</v>
      </c>
    </row>
    <row r="74" spans="1:1" x14ac:dyDescent="0.2">
      <c r="A74" t="s">
        <v>680</v>
      </c>
    </row>
    <row r="75" spans="1:1" x14ac:dyDescent="0.2">
      <c r="A75" t="s">
        <v>441</v>
      </c>
    </row>
    <row r="76" spans="1:1" x14ac:dyDescent="0.2">
      <c r="A76" t="s">
        <v>442</v>
      </c>
    </row>
    <row r="77" spans="1:1" x14ac:dyDescent="0.2">
      <c r="A77" t="s">
        <v>443</v>
      </c>
    </row>
    <row r="78" spans="1:1" x14ac:dyDescent="0.2">
      <c r="A78" t="s">
        <v>604</v>
      </c>
    </row>
    <row r="79" spans="1:1" x14ac:dyDescent="0.2">
      <c r="A79" t="s">
        <v>681</v>
      </c>
    </row>
    <row r="80" spans="1:1" x14ac:dyDescent="0.2">
      <c r="A80" t="s">
        <v>444</v>
      </c>
    </row>
    <row r="81" spans="1:1" x14ac:dyDescent="0.2">
      <c r="A81" t="s">
        <v>682</v>
      </c>
    </row>
    <row r="82" spans="1:1" x14ac:dyDescent="0.2">
      <c r="A82" t="s">
        <v>605</v>
      </c>
    </row>
    <row r="83" spans="1:1" x14ac:dyDescent="0.2">
      <c r="A83" t="s">
        <v>445</v>
      </c>
    </row>
    <row r="84" spans="1:1" x14ac:dyDescent="0.2">
      <c r="A84" t="s">
        <v>683</v>
      </c>
    </row>
    <row r="85" spans="1:1" x14ac:dyDescent="0.2">
      <c r="A85" t="s">
        <v>446</v>
      </c>
    </row>
    <row r="86" spans="1:1" x14ac:dyDescent="0.2">
      <c r="A86" t="s">
        <v>684</v>
      </c>
    </row>
    <row r="87" spans="1:1" x14ac:dyDescent="0.2">
      <c r="A87" t="s">
        <v>685</v>
      </c>
    </row>
    <row r="88" spans="1:1" x14ac:dyDescent="0.2">
      <c r="A88" t="s">
        <v>447</v>
      </c>
    </row>
    <row r="89" spans="1:1" x14ac:dyDescent="0.2">
      <c r="A89" t="s">
        <v>448</v>
      </c>
    </row>
    <row r="90" spans="1:1" x14ac:dyDescent="0.2">
      <c r="A90" t="s">
        <v>449</v>
      </c>
    </row>
    <row r="91" spans="1:1" x14ac:dyDescent="0.2">
      <c r="A91" t="s">
        <v>686</v>
      </c>
    </row>
    <row r="92" spans="1:1" x14ac:dyDescent="0.2">
      <c r="A92" t="s">
        <v>687</v>
      </c>
    </row>
    <row r="93" spans="1:1" x14ac:dyDescent="0.2">
      <c r="A93" t="s">
        <v>450</v>
      </c>
    </row>
    <row r="94" spans="1:1" x14ac:dyDescent="0.2">
      <c r="A94" t="s">
        <v>688</v>
      </c>
    </row>
    <row r="95" spans="1:1" x14ac:dyDescent="0.2">
      <c r="A95" t="s">
        <v>451</v>
      </c>
    </row>
    <row r="96" spans="1:1" x14ac:dyDescent="0.2">
      <c r="A96" t="s">
        <v>452</v>
      </c>
    </row>
    <row r="97" spans="1:1" x14ac:dyDescent="0.2">
      <c r="A97" t="s">
        <v>453</v>
      </c>
    </row>
    <row r="98" spans="1:1" x14ac:dyDescent="0.2">
      <c r="A98" t="s">
        <v>454</v>
      </c>
    </row>
    <row r="99" spans="1:1" x14ac:dyDescent="0.2">
      <c r="A99" t="s">
        <v>455</v>
      </c>
    </row>
    <row r="100" spans="1:1" x14ac:dyDescent="0.2">
      <c r="A100" t="s">
        <v>689</v>
      </c>
    </row>
    <row r="101" spans="1:1" x14ac:dyDescent="0.2">
      <c r="A101" t="s">
        <v>690</v>
      </c>
    </row>
    <row r="102" spans="1:1" x14ac:dyDescent="0.2">
      <c r="A102" t="s">
        <v>691</v>
      </c>
    </row>
    <row r="103" spans="1:1" x14ac:dyDescent="0.2">
      <c r="A103" t="s">
        <v>692</v>
      </c>
    </row>
    <row r="104" spans="1:1" x14ac:dyDescent="0.2">
      <c r="A104" t="s">
        <v>693</v>
      </c>
    </row>
    <row r="105" spans="1:1" x14ac:dyDescent="0.2">
      <c r="A105" t="s">
        <v>456</v>
      </c>
    </row>
    <row r="106" spans="1:1" x14ac:dyDescent="0.2">
      <c r="A106" t="s">
        <v>457</v>
      </c>
    </row>
    <row r="107" spans="1:1" x14ac:dyDescent="0.2">
      <c r="A107" t="s">
        <v>694</v>
      </c>
    </row>
    <row r="108" spans="1:1" x14ac:dyDescent="0.2">
      <c r="A108" t="s">
        <v>695</v>
      </c>
    </row>
    <row r="109" spans="1:1" x14ac:dyDescent="0.2">
      <c r="A109" t="s">
        <v>696</v>
      </c>
    </row>
    <row r="110" spans="1:1" x14ac:dyDescent="0.2">
      <c r="A110" t="s">
        <v>458</v>
      </c>
    </row>
    <row r="111" spans="1:1" x14ac:dyDescent="0.2">
      <c r="A111" t="s">
        <v>697</v>
      </c>
    </row>
    <row r="112" spans="1:1" x14ac:dyDescent="0.2">
      <c r="A112" t="s">
        <v>698</v>
      </c>
    </row>
    <row r="113" spans="1:1" x14ac:dyDescent="0.2">
      <c r="A113" t="s">
        <v>699</v>
      </c>
    </row>
    <row r="114" spans="1:1" x14ac:dyDescent="0.2">
      <c r="A114" t="s">
        <v>459</v>
      </c>
    </row>
    <row r="115" spans="1:1" x14ac:dyDescent="0.2">
      <c r="A115" t="s">
        <v>700</v>
      </c>
    </row>
    <row r="116" spans="1:1" x14ac:dyDescent="0.2">
      <c r="A116" t="s">
        <v>701</v>
      </c>
    </row>
    <row r="117" spans="1:1" x14ac:dyDescent="0.2">
      <c r="A117" t="s">
        <v>460</v>
      </c>
    </row>
    <row r="118" spans="1:1" x14ac:dyDescent="0.2">
      <c r="A118" t="s">
        <v>461</v>
      </c>
    </row>
    <row r="119" spans="1:1" x14ac:dyDescent="0.2">
      <c r="A119" t="s">
        <v>702</v>
      </c>
    </row>
    <row r="120" spans="1:1" x14ac:dyDescent="0.2">
      <c r="A120" t="s">
        <v>703</v>
      </c>
    </row>
    <row r="121" spans="1:1" x14ac:dyDescent="0.2">
      <c r="A121" t="s">
        <v>462</v>
      </c>
    </row>
    <row r="122" spans="1:1" x14ac:dyDescent="0.2">
      <c r="A122" t="s">
        <v>463</v>
      </c>
    </row>
    <row r="123" spans="1:1" x14ac:dyDescent="0.2">
      <c r="A123" t="s">
        <v>464</v>
      </c>
    </row>
    <row r="124" spans="1:1" x14ac:dyDescent="0.2">
      <c r="A124" t="s">
        <v>465</v>
      </c>
    </row>
    <row r="125" spans="1:1" x14ac:dyDescent="0.2">
      <c r="A125" t="s">
        <v>466</v>
      </c>
    </row>
    <row r="126" spans="1:1" x14ac:dyDescent="0.2">
      <c r="A126" t="s">
        <v>467</v>
      </c>
    </row>
    <row r="127" spans="1:1" x14ac:dyDescent="0.2">
      <c r="A127" t="s">
        <v>468</v>
      </c>
    </row>
    <row r="128" spans="1:1" x14ac:dyDescent="0.2">
      <c r="A128" t="s">
        <v>469</v>
      </c>
    </row>
    <row r="129" spans="1:1" x14ac:dyDescent="0.2">
      <c r="A129" t="s">
        <v>470</v>
      </c>
    </row>
    <row r="130" spans="1:1" x14ac:dyDescent="0.2">
      <c r="A130" t="s">
        <v>471</v>
      </c>
    </row>
    <row r="131" spans="1:1" x14ac:dyDescent="0.2">
      <c r="A131" t="s">
        <v>472</v>
      </c>
    </row>
    <row r="132" spans="1:1" x14ac:dyDescent="0.2">
      <c r="A132" t="s">
        <v>473</v>
      </c>
    </row>
    <row r="133" spans="1:1" x14ac:dyDescent="0.2">
      <c r="A133" t="s">
        <v>474</v>
      </c>
    </row>
    <row r="134" spans="1:1" x14ac:dyDescent="0.2">
      <c r="A134" t="s">
        <v>475</v>
      </c>
    </row>
    <row r="135" spans="1:1" x14ac:dyDescent="0.2">
      <c r="A135" t="s">
        <v>476</v>
      </c>
    </row>
    <row r="136" spans="1:1" x14ac:dyDescent="0.2">
      <c r="A136" t="s">
        <v>477</v>
      </c>
    </row>
    <row r="137" spans="1:1" x14ac:dyDescent="0.2">
      <c r="A137" t="s">
        <v>478</v>
      </c>
    </row>
    <row r="138" spans="1:1" x14ac:dyDescent="0.2">
      <c r="A138" t="s">
        <v>479</v>
      </c>
    </row>
    <row r="139" spans="1:1" x14ac:dyDescent="0.2">
      <c r="A139" t="s">
        <v>480</v>
      </c>
    </row>
    <row r="140" spans="1:1" x14ac:dyDescent="0.2">
      <c r="A140" t="s">
        <v>481</v>
      </c>
    </row>
    <row r="141" spans="1:1" x14ac:dyDescent="0.2">
      <c r="A141" t="s">
        <v>482</v>
      </c>
    </row>
    <row r="142" spans="1:1" x14ac:dyDescent="0.2">
      <c r="A142" t="s">
        <v>483</v>
      </c>
    </row>
    <row r="143" spans="1:1" x14ac:dyDescent="0.2">
      <c r="A143" t="s">
        <v>484</v>
      </c>
    </row>
    <row r="144" spans="1:1" x14ac:dyDescent="0.2">
      <c r="A144" t="s">
        <v>485</v>
      </c>
    </row>
    <row r="145" spans="1:1" x14ac:dyDescent="0.2">
      <c r="A145" t="s">
        <v>486</v>
      </c>
    </row>
    <row r="146" spans="1:1" x14ac:dyDescent="0.2">
      <c r="A146" t="s">
        <v>487</v>
      </c>
    </row>
    <row r="147" spans="1:1" x14ac:dyDescent="0.2">
      <c r="A147" t="s">
        <v>488</v>
      </c>
    </row>
    <row r="148" spans="1:1" x14ac:dyDescent="0.2">
      <c r="A148" t="s">
        <v>489</v>
      </c>
    </row>
    <row r="149" spans="1:1" x14ac:dyDescent="0.2">
      <c r="A149" t="s">
        <v>490</v>
      </c>
    </row>
    <row r="150" spans="1:1" x14ac:dyDescent="0.2">
      <c r="A150" t="s">
        <v>491</v>
      </c>
    </row>
    <row r="151" spans="1:1" x14ac:dyDescent="0.2">
      <c r="A151" t="s">
        <v>492</v>
      </c>
    </row>
    <row r="152" spans="1:1" x14ac:dyDescent="0.2">
      <c r="A152" t="s">
        <v>493</v>
      </c>
    </row>
    <row r="153" spans="1:1" x14ac:dyDescent="0.2">
      <c r="A153" t="s">
        <v>494</v>
      </c>
    </row>
    <row r="154" spans="1:1" x14ac:dyDescent="0.2">
      <c r="A154" t="s">
        <v>495</v>
      </c>
    </row>
    <row r="155" spans="1:1" x14ac:dyDescent="0.2">
      <c r="A155" t="s">
        <v>496</v>
      </c>
    </row>
    <row r="156" spans="1:1" x14ac:dyDescent="0.2">
      <c r="A156" t="s">
        <v>497</v>
      </c>
    </row>
    <row r="157" spans="1:1" x14ac:dyDescent="0.2">
      <c r="A157" t="s">
        <v>498</v>
      </c>
    </row>
    <row r="158" spans="1:1" x14ac:dyDescent="0.2">
      <c r="A158" t="s">
        <v>499</v>
      </c>
    </row>
    <row r="159" spans="1:1" x14ac:dyDescent="0.2">
      <c r="A159" t="s">
        <v>500</v>
      </c>
    </row>
    <row r="160" spans="1:1" x14ac:dyDescent="0.2">
      <c r="A160" t="s">
        <v>501</v>
      </c>
    </row>
    <row r="161" spans="1:1" x14ac:dyDescent="0.2">
      <c r="A161" t="s">
        <v>502</v>
      </c>
    </row>
    <row r="162" spans="1:1" x14ac:dyDescent="0.2">
      <c r="A162" t="s">
        <v>503</v>
      </c>
    </row>
    <row r="163" spans="1:1" x14ac:dyDescent="0.2">
      <c r="A163" t="s">
        <v>504</v>
      </c>
    </row>
    <row r="164" spans="1:1" x14ac:dyDescent="0.2">
      <c r="A164" t="s">
        <v>505</v>
      </c>
    </row>
    <row r="165" spans="1:1" x14ac:dyDescent="0.2">
      <c r="A165" t="s">
        <v>506</v>
      </c>
    </row>
    <row r="166" spans="1:1" x14ac:dyDescent="0.2">
      <c r="A166" t="s">
        <v>507</v>
      </c>
    </row>
    <row r="167" spans="1:1" x14ac:dyDescent="0.2">
      <c r="A167" t="s">
        <v>508</v>
      </c>
    </row>
    <row r="168" spans="1:1" x14ac:dyDescent="0.2">
      <c r="A168" t="s">
        <v>509</v>
      </c>
    </row>
    <row r="169" spans="1:1" x14ac:dyDescent="0.2">
      <c r="A169" t="s">
        <v>510</v>
      </c>
    </row>
    <row r="170" spans="1:1" x14ac:dyDescent="0.2">
      <c r="A170" t="s">
        <v>511</v>
      </c>
    </row>
    <row r="171" spans="1:1" x14ac:dyDescent="0.2">
      <c r="A171" t="s">
        <v>512</v>
      </c>
    </row>
    <row r="172" spans="1:1" x14ac:dyDescent="0.2">
      <c r="A172" t="s">
        <v>513</v>
      </c>
    </row>
    <row r="173" spans="1:1" x14ac:dyDescent="0.2">
      <c r="A173" t="s">
        <v>514</v>
      </c>
    </row>
    <row r="174" spans="1:1" x14ac:dyDescent="0.2">
      <c r="A174" t="s">
        <v>515</v>
      </c>
    </row>
    <row r="175" spans="1:1" x14ac:dyDescent="0.2">
      <c r="A175" t="s">
        <v>516</v>
      </c>
    </row>
    <row r="176" spans="1:1" x14ac:dyDescent="0.2">
      <c r="A176" t="s">
        <v>517</v>
      </c>
    </row>
    <row r="177" spans="1:1" x14ac:dyDescent="0.2">
      <c r="A177" t="s">
        <v>518</v>
      </c>
    </row>
    <row r="178" spans="1:1" x14ac:dyDescent="0.2">
      <c r="A178" t="s">
        <v>519</v>
      </c>
    </row>
    <row r="179" spans="1:1" x14ac:dyDescent="0.2">
      <c r="A179" t="s">
        <v>520</v>
      </c>
    </row>
    <row r="180" spans="1:1" x14ac:dyDescent="0.2">
      <c r="A180" t="s">
        <v>521</v>
      </c>
    </row>
    <row r="181" spans="1:1" x14ac:dyDescent="0.2">
      <c r="A181" t="s">
        <v>522</v>
      </c>
    </row>
    <row r="182" spans="1:1" x14ac:dyDescent="0.2">
      <c r="A182" t="s">
        <v>523</v>
      </c>
    </row>
    <row r="183" spans="1:1" x14ac:dyDescent="0.2">
      <c r="A183" t="s">
        <v>524</v>
      </c>
    </row>
    <row r="184" spans="1:1" x14ac:dyDescent="0.2">
      <c r="A184" t="s">
        <v>525</v>
      </c>
    </row>
    <row r="185" spans="1:1" x14ac:dyDescent="0.2">
      <c r="A185" t="s">
        <v>526</v>
      </c>
    </row>
    <row r="186" spans="1:1" x14ac:dyDescent="0.2">
      <c r="A186" t="s">
        <v>527</v>
      </c>
    </row>
    <row r="187" spans="1:1" x14ac:dyDescent="0.2">
      <c r="A187" t="s">
        <v>528</v>
      </c>
    </row>
    <row r="188" spans="1:1" x14ac:dyDescent="0.2">
      <c r="A188" t="s">
        <v>529</v>
      </c>
    </row>
    <row r="189" spans="1:1" x14ac:dyDescent="0.2">
      <c r="A189" t="s">
        <v>530</v>
      </c>
    </row>
    <row r="190" spans="1:1" x14ac:dyDescent="0.2">
      <c r="A190" t="s">
        <v>531</v>
      </c>
    </row>
    <row r="191" spans="1:1" x14ac:dyDescent="0.2">
      <c r="A191" t="s">
        <v>532</v>
      </c>
    </row>
    <row r="192" spans="1:1" x14ac:dyDescent="0.2">
      <c r="A192" t="s">
        <v>533</v>
      </c>
    </row>
    <row r="193" spans="1:1" x14ac:dyDescent="0.2">
      <c r="A193" t="s">
        <v>534</v>
      </c>
    </row>
    <row r="194" spans="1:1" x14ac:dyDescent="0.2">
      <c r="A194" t="s">
        <v>535</v>
      </c>
    </row>
    <row r="195" spans="1:1" x14ac:dyDescent="0.2">
      <c r="A195" t="s">
        <v>536</v>
      </c>
    </row>
    <row r="196" spans="1:1" x14ac:dyDescent="0.2">
      <c r="A196" t="s">
        <v>537</v>
      </c>
    </row>
    <row r="197" spans="1:1" x14ac:dyDescent="0.2">
      <c r="A197" t="s">
        <v>538</v>
      </c>
    </row>
    <row r="198" spans="1:1" x14ac:dyDescent="0.2">
      <c r="A198" t="s">
        <v>539</v>
      </c>
    </row>
    <row r="199" spans="1:1" x14ac:dyDescent="0.2">
      <c r="A199" t="s">
        <v>540</v>
      </c>
    </row>
    <row r="200" spans="1:1" x14ac:dyDescent="0.2">
      <c r="A200" t="s">
        <v>541</v>
      </c>
    </row>
    <row r="201" spans="1:1" x14ac:dyDescent="0.2">
      <c r="A201" t="s">
        <v>542</v>
      </c>
    </row>
    <row r="202" spans="1:1" x14ac:dyDescent="0.2">
      <c r="A202" t="s">
        <v>543</v>
      </c>
    </row>
    <row r="203" spans="1:1" x14ac:dyDescent="0.2">
      <c r="A203" t="s">
        <v>544</v>
      </c>
    </row>
    <row r="204" spans="1:1" x14ac:dyDescent="0.2">
      <c r="A204" t="s">
        <v>545</v>
      </c>
    </row>
    <row r="205" spans="1:1" x14ac:dyDescent="0.2">
      <c r="A205" t="s">
        <v>546</v>
      </c>
    </row>
    <row r="206" spans="1:1" x14ac:dyDescent="0.2">
      <c r="A206" t="s">
        <v>547</v>
      </c>
    </row>
    <row r="207" spans="1:1" x14ac:dyDescent="0.2">
      <c r="A207" t="s">
        <v>548</v>
      </c>
    </row>
    <row r="208" spans="1:1" x14ac:dyDescent="0.2">
      <c r="A208" t="s">
        <v>549</v>
      </c>
    </row>
    <row r="209" spans="1:1" x14ac:dyDescent="0.2">
      <c r="A209" t="s">
        <v>550</v>
      </c>
    </row>
    <row r="210" spans="1:1" x14ac:dyDescent="0.2">
      <c r="A210" t="s">
        <v>551</v>
      </c>
    </row>
    <row r="211" spans="1:1" x14ac:dyDescent="0.2">
      <c r="A211" t="s">
        <v>552</v>
      </c>
    </row>
    <row r="212" spans="1:1" x14ac:dyDescent="0.2">
      <c r="A212" t="s">
        <v>553</v>
      </c>
    </row>
    <row r="213" spans="1:1" x14ac:dyDescent="0.2">
      <c r="A213" t="s">
        <v>554</v>
      </c>
    </row>
    <row r="214" spans="1:1" x14ac:dyDescent="0.2">
      <c r="A214" t="s">
        <v>555</v>
      </c>
    </row>
    <row r="215" spans="1:1" x14ac:dyDescent="0.2">
      <c r="A215" t="s">
        <v>556</v>
      </c>
    </row>
    <row r="216" spans="1:1" x14ac:dyDescent="0.2">
      <c r="A216" t="s">
        <v>557</v>
      </c>
    </row>
    <row r="217" spans="1:1" x14ac:dyDescent="0.2">
      <c r="A217" t="s">
        <v>558</v>
      </c>
    </row>
    <row r="218" spans="1:1" x14ac:dyDescent="0.2">
      <c r="A218" t="s">
        <v>559</v>
      </c>
    </row>
    <row r="219" spans="1:1" x14ac:dyDescent="0.2">
      <c r="A219" t="s">
        <v>560</v>
      </c>
    </row>
    <row r="220" spans="1:1" x14ac:dyDescent="0.2">
      <c r="A220" t="s">
        <v>561</v>
      </c>
    </row>
    <row r="221" spans="1:1" x14ac:dyDescent="0.2">
      <c r="A221" t="s">
        <v>562</v>
      </c>
    </row>
    <row r="222" spans="1:1" x14ac:dyDescent="0.2">
      <c r="A222" t="s">
        <v>563</v>
      </c>
    </row>
    <row r="223" spans="1:1" x14ac:dyDescent="0.2">
      <c r="A223" t="s">
        <v>564</v>
      </c>
    </row>
    <row r="224" spans="1:1" x14ac:dyDescent="0.2">
      <c r="A224" t="s">
        <v>565</v>
      </c>
    </row>
    <row r="225" spans="1:1" x14ac:dyDescent="0.2">
      <c r="A225" t="s">
        <v>566</v>
      </c>
    </row>
    <row r="226" spans="1:1" x14ac:dyDescent="0.2">
      <c r="A226" t="s">
        <v>567</v>
      </c>
    </row>
    <row r="227" spans="1:1" x14ac:dyDescent="0.2">
      <c r="A227" t="s">
        <v>568</v>
      </c>
    </row>
    <row r="228" spans="1:1" x14ac:dyDescent="0.2">
      <c r="A228" t="s">
        <v>569</v>
      </c>
    </row>
    <row r="229" spans="1:1" x14ac:dyDescent="0.2">
      <c r="A229" t="s">
        <v>570</v>
      </c>
    </row>
    <row r="230" spans="1:1" x14ac:dyDescent="0.2">
      <c r="A230" t="s">
        <v>571</v>
      </c>
    </row>
    <row r="231" spans="1:1" x14ac:dyDescent="0.2">
      <c r="A231" t="s">
        <v>572</v>
      </c>
    </row>
    <row r="232" spans="1:1" x14ac:dyDescent="0.2">
      <c r="A232" t="s">
        <v>573</v>
      </c>
    </row>
    <row r="233" spans="1:1" x14ac:dyDescent="0.2">
      <c r="A233" t="s">
        <v>574</v>
      </c>
    </row>
    <row r="234" spans="1:1" x14ac:dyDescent="0.2">
      <c r="A234" t="s">
        <v>575</v>
      </c>
    </row>
    <row r="235" spans="1:1" x14ac:dyDescent="0.2">
      <c r="A235" t="s">
        <v>576</v>
      </c>
    </row>
    <row r="236" spans="1:1" x14ac:dyDescent="0.2">
      <c r="A236" t="s">
        <v>577</v>
      </c>
    </row>
    <row r="237" spans="1:1" x14ac:dyDescent="0.2">
      <c r="A237" t="s">
        <v>578</v>
      </c>
    </row>
    <row r="238" spans="1:1" x14ac:dyDescent="0.2">
      <c r="A238" t="s">
        <v>579</v>
      </c>
    </row>
    <row r="239" spans="1:1" x14ac:dyDescent="0.2">
      <c r="A239" t="s">
        <v>580</v>
      </c>
    </row>
    <row r="240" spans="1:1" x14ac:dyDescent="0.2">
      <c r="A240" t="s">
        <v>581</v>
      </c>
    </row>
    <row r="241" spans="1:1" x14ac:dyDescent="0.2">
      <c r="A241" t="s">
        <v>582</v>
      </c>
    </row>
    <row r="242" spans="1:1" x14ac:dyDescent="0.2">
      <c r="A242" t="s">
        <v>583</v>
      </c>
    </row>
    <row r="243" spans="1:1" x14ac:dyDescent="0.2">
      <c r="A243" t="s">
        <v>584</v>
      </c>
    </row>
    <row r="244" spans="1:1" x14ac:dyDescent="0.2">
      <c r="A244" t="s">
        <v>585</v>
      </c>
    </row>
    <row r="245" spans="1:1" x14ac:dyDescent="0.2">
      <c r="A245" t="s">
        <v>586</v>
      </c>
    </row>
    <row r="246" spans="1:1" x14ac:dyDescent="0.2">
      <c r="A246" t="s">
        <v>587</v>
      </c>
    </row>
    <row r="247" spans="1:1" x14ac:dyDescent="0.2">
      <c r="A247" t="s">
        <v>588</v>
      </c>
    </row>
    <row r="248" spans="1:1" x14ac:dyDescent="0.2">
      <c r="A248" t="s">
        <v>589</v>
      </c>
    </row>
    <row r="249" spans="1:1" x14ac:dyDescent="0.2">
      <c r="A249" t="s">
        <v>590</v>
      </c>
    </row>
    <row r="250" spans="1:1" x14ac:dyDescent="0.2">
      <c r="A250" t="s">
        <v>591</v>
      </c>
    </row>
    <row r="251" spans="1:1" x14ac:dyDescent="0.2">
      <c r="A251" t="s">
        <v>592</v>
      </c>
    </row>
    <row r="252" spans="1:1" x14ac:dyDescent="0.2">
      <c r="A252" t="s">
        <v>593</v>
      </c>
    </row>
    <row r="253" spans="1:1" x14ac:dyDescent="0.2">
      <c r="A253" t="s">
        <v>594</v>
      </c>
    </row>
    <row r="254" spans="1:1" x14ac:dyDescent="0.2">
      <c r="A254" t="s">
        <v>595</v>
      </c>
    </row>
    <row r="255" spans="1:1" x14ac:dyDescent="0.2">
      <c r="A255" t="s">
        <v>596</v>
      </c>
    </row>
    <row r="256" spans="1:1" x14ac:dyDescent="0.2">
      <c r="A256" t="s">
        <v>597</v>
      </c>
    </row>
    <row r="257" spans="1:1" x14ac:dyDescent="0.2">
      <c r="A257" t="s">
        <v>598</v>
      </c>
    </row>
    <row r="258" spans="1:1" x14ac:dyDescent="0.2">
      <c r="A258" t="s">
        <v>599</v>
      </c>
    </row>
    <row r="259" spans="1:1" x14ac:dyDescent="0.2">
      <c r="A259" t="s">
        <v>600</v>
      </c>
    </row>
    <row r="260" spans="1:1" x14ac:dyDescent="0.2">
      <c r="A260" t="s">
        <v>601</v>
      </c>
    </row>
    <row r="261" spans="1:1" x14ac:dyDescent="0.2">
      <c r="A261" t="s">
        <v>602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62" t="str">
        <f>IF(C$1=0,"LastOrder",IF(C$1=1,"MinOrder","ОШИБКА"))</f>
        <v>LastOrder</v>
      </c>
      <c r="C1" s="265">
        <v>0</v>
      </c>
      <c r="D1" s="114"/>
      <c r="E1" s="275"/>
      <c r="F1" s="262" t="str">
        <f>IF(G$1=0,"LastOrder",IF(G$1=1,"MinOrder","ОШИБКА"))</f>
        <v>LastOrder</v>
      </c>
      <c r="G1" s="265">
        <v>0</v>
      </c>
      <c r="H1" s="114"/>
      <c r="I1" s="266"/>
      <c r="J1" s="262" t="str">
        <f>IF(K$1=0,"LastOrder",IF(K$1=1,"MinOrder","ОШИБКА"))</f>
        <v>LastOrder</v>
      </c>
      <c r="K1" s="265">
        <v>0</v>
      </c>
      <c r="L1" s="114"/>
      <c r="M1" s="276"/>
      <c r="N1" s="262" t="str">
        <f>IF(O$1=0,"LastOrder",IF(O$1=1,"MinOrder","ОШИБКА"))</f>
        <v>MinOrder</v>
      </c>
      <c r="O1" s="265">
        <v>1</v>
      </c>
      <c r="P1" s="114"/>
    </row>
    <row r="2" spans="1:16" ht="15" x14ac:dyDescent="0.25">
      <c r="A2" s="27" t="s">
        <v>0</v>
      </c>
      <c r="B2" s="247" t="str">
        <f>IF(C$2&lt;0,"д.б. &gt;0","")</f>
        <v/>
      </c>
      <c r="C2" s="1">
        <v>0.01</v>
      </c>
      <c r="D2" s="29"/>
      <c r="E2" s="30"/>
      <c r="F2" s="247" t="str">
        <f>IF(G$2&lt;0,"д.б. &gt;0","")</f>
        <v/>
      </c>
      <c r="G2" s="1">
        <v>0.02</v>
      </c>
      <c r="H2" s="29"/>
      <c r="I2" s="31"/>
      <c r="J2" s="247" t="str">
        <f>IF(K$2&lt;0,"д.б. &gt;0","")</f>
        <v/>
      </c>
      <c r="K2" s="1">
        <v>0.03</v>
      </c>
      <c r="L2" s="32"/>
      <c r="M2" s="33"/>
      <c r="N2" s="247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7" t="str">
        <f>IF(C$3&lt;0,"д.б. &gt;0","")</f>
        <v/>
      </c>
      <c r="C3" s="2">
        <v>1.4</v>
      </c>
      <c r="D3" s="29"/>
      <c r="E3" s="30"/>
      <c r="F3" s="247" t="str">
        <f>IF(G$3&lt;0,"д.б. &gt;0","")</f>
        <v/>
      </c>
      <c r="G3" s="2">
        <v>1.4</v>
      </c>
      <c r="H3" s="29"/>
      <c r="I3" s="31"/>
      <c r="J3" s="247" t="str">
        <f>IF(K$3&lt;0,"д.б. &gt;0","")</f>
        <v/>
      </c>
      <c r="K3" s="2">
        <v>1.4</v>
      </c>
      <c r="L3" s="32"/>
      <c r="M3" s="33"/>
      <c r="N3" s="247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7" t="str">
        <f>IF(C$4&lt;2,"д.б. &gt;1","")</f>
        <v/>
      </c>
      <c r="C4" s="23">
        <v>2</v>
      </c>
      <c r="D4" s="29"/>
      <c r="E4" s="30"/>
      <c r="F4" s="247" t="str">
        <f>IF(G$4&lt;2,"д.б. &gt;1","")</f>
        <v/>
      </c>
      <c r="G4" s="23">
        <v>3</v>
      </c>
      <c r="H4" s="29"/>
      <c r="I4" s="31"/>
      <c r="J4" s="247" t="str">
        <f>IF(K$4&lt;2,"д.б. &gt;1","")</f>
        <v/>
      </c>
      <c r="K4" s="23">
        <v>4</v>
      </c>
      <c r="L4" s="32"/>
      <c r="M4" s="33"/>
      <c r="N4" s="247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7"/>
      <c r="C5" s="327"/>
      <c r="D5" s="35"/>
      <c r="E5" s="36"/>
      <c r="F5" s="247"/>
      <c r="G5" s="35"/>
      <c r="H5" s="35"/>
      <c r="I5" s="37"/>
      <c r="J5" s="247"/>
      <c r="K5" s="35"/>
      <c r="L5" s="32"/>
      <c r="M5" s="33"/>
      <c r="N5" s="247"/>
      <c r="O5" s="32"/>
      <c r="P5" s="32"/>
    </row>
    <row r="6" spans="1:16" ht="16.5" x14ac:dyDescent="0.3">
      <c r="A6" s="252" t="s">
        <v>2</v>
      </c>
      <c r="B6" s="247" t="str">
        <f>IF(C$6&lt;0,"д.б. &gt;=0","")</f>
        <v/>
      </c>
      <c r="C6" s="320">
        <v>6</v>
      </c>
      <c r="D6" s="39"/>
      <c r="E6" s="40"/>
      <c r="F6" s="247" t="str">
        <f>IF(G$6&lt;0,"д.б. &gt;=0","")</f>
        <v/>
      </c>
      <c r="G6" s="320">
        <v>6</v>
      </c>
      <c r="H6" s="39"/>
      <c r="I6" s="41"/>
      <c r="J6" s="247" t="str">
        <f>IF(K$6&lt;0,"д.б. &gt;=0","")</f>
        <v/>
      </c>
      <c r="K6" s="4">
        <v>6</v>
      </c>
      <c r="L6" s="32"/>
      <c r="M6" s="33"/>
      <c r="N6" s="247" t="str">
        <f>IF(O$6&lt;0,"д.б. &gt;=0","")</f>
        <v/>
      </c>
      <c r="O6" s="4">
        <v>4</v>
      </c>
      <c r="P6" s="32"/>
    </row>
    <row r="7" spans="1:16" ht="16.5" x14ac:dyDescent="0.3">
      <c r="A7" s="252" t="s">
        <v>3</v>
      </c>
      <c r="B7" s="247" t="str">
        <f>IF(AND(C$6=0,C$7&lt;&gt;0),"д.б. =0","")</f>
        <v/>
      </c>
      <c r="C7" s="6">
        <v>0.01</v>
      </c>
      <c r="D7" s="42"/>
      <c r="E7" s="43"/>
      <c r="F7" s="247" t="str">
        <f>IF(AND(G$6=0,G$7&lt;&gt;0),"д.б. =0","")</f>
        <v/>
      </c>
      <c r="G7" s="6">
        <v>0.01</v>
      </c>
      <c r="H7" s="42"/>
      <c r="I7" s="44"/>
      <c r="J7" s="247" t="str">
        <f>IF(AND(K$6=0,K$7&lt;&gt;0),"д.б. =0","")</f>
        <v/>
      </c>
      <c r="K7" s="6">
        <v>0.01</v>
      </c>
      <c r="L7" s="45"/>
      <c r="M7" s="46"/>
      <c r="N7" s="247" t="str">
        <f>IF(AND(O$6=0,O$7&lt;&gt;0),"д.б. =0","")</f>
        <v/>
      </c>
      <c r="O7" s="6">
        <v>3</v>
      </c>
      <c r="P7" s="45"/>
    </row>
    <row r="8" spans="1:16" ht="16.5" x14ac:dyDescent="0.3">
      <c r="A8" s="253"/>
      <c r="B8" s="250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8"/>
      <c r="D8" s="35"/>
      <c r="E8" s="36"/>
      <c r="F8" s="250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0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51" t="s">
        <v>4</v>
      </c>
      <c r="B9" s="247" t="str">
        <f>IF(C$9&lt;0,"д.б. &gt;=0","")</f>
        <v/>
      </c>
      <c r="C9" s="321">
        <v>0</v>
      </c>
      <c r="D9" s="48" t="s">
        <v>11</v>
      </c>
      <c r="E9" s="49"/>
      <c r="F9" s="247" t="str">
        <f>IF(G$9&lt;0,"д.б. &gt;=0","")</f>
        <v/>
      </c>
      <c r="G9" s="24">
        <v>0</v>
      </c>
      <c r="H9" s="48"/>
      <c r="I9" s="50"/>
      <c r="J9" s="247" t="str">
        <f>IF(K$9&lt;0,"д.б. &gt;=0","")</f>
        <v/>
      </c>
      <c r="K9" s="25">
        <v>0</v>
      </c>
      <c r="L9" s="51"/>
      <c r="M9" s="52"/>
      <c r="N9" s="247" t="str">
        <f>IF(O$9&lt;0,"д.б. &gt;=0","")</f>
        <v/>
      </c>
      <c r="O9" s="25">
        <v>10</v>
      </c>
      <c r="P9" s="51"/>
    </row>
    <row r="10" spans="1:16" ht="16.5" x14ac:dyDescent="0.3">
      <c r="A10" s="251" t="s">
        <v>5</v>
      </c>
      <c r="B10" s="247" t="str">
        <f>IF(AND(C$9=0,C$10&lt;&gt;0),"д.б. =0","")</f>
        <v/>
      </c>
      <c r="C10" s="26">
        <v>0</v>
      </c>
      <c r="D10" s="53"/>
      <c r="E10" s="54"/>
      <c r="F10" s="247" t="str">
        <f>IF(AND(G$9=0,G$10&lt;&gt;0),"д.б. =0","")</f>
        <v/>
      </c>
      <c r="G10" s="26">
        <v>0</v>
      </c>
      <c r="H10" s="48"/>
      <c r="I10" s="50"/>
      <c r="J10" s="247" t="str">
        <f>IF(AND(K$9=0,K$10&lt;&gt;0),"д.б. =0","")</f>
        <v/>
      </c>
      <c r="K10" s="26">
        <v>0</v>
      </c>
      <c r="L10" s="51"/>
      <c r="M10" s="52"/>
      <c r="N10" s="247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1"/>
      <c r="B11" s="247"/>
      <c r="C11" s="335"/>
      <c r="D11" s="53"/>
      <c r="E11" s="54"/>
      <c r="F11" s="247"/>
      <c r="G11" s="335"/>
      <c r="H11" s="48"/>
      <c r="I11" s="50"/>
      <c r="J11" s="247"/>
      <c r="K11" s="335"/>
      <c r="L11" s="51"/>
      <c r="M11" s="52"/>
      <c r="N11" s="247"/>
      <c r="O11" s="335"/>
      <c r="P11" s="51"/>
    </row>
    <row r="12" spans="1:16" ht="16.5" x14ac:dyDescent="0.3">
      <c r="A12" s="322" t="s">
        <v>92</v>
      </c>
      <c r="B12" s="247" t="str">
        <f>IF(C$12&lt;0,"д.б. &gt;=0","")</f>
        <v/>
      </c>
      <c r="C12" s="81">
        <v>0</v>
      </c>
      <c r="D12" s="53"/>
      <c r="E12" s="54"/>
      <c r="F12" s="247" t="str">
        <f>IF(G$12&lt;0,"д.б. &gt;=0","")</f>
        <v/>
      </c>
      <c r="G12" s="81">
        <v>0</v>
      </c>
      <c r="H12" s="48"/>
      <c r="I12" s="50"/>
      <c r="J12" s="247" t="str">
        <f>IF(K$12&lt;0,"д.б. &gt;=0","")</f>
        <v/>
      </c>
      <c r="K12" s="81">
        <v>0</v>
      </c>
      <c r="L12" s="51"/>
      <c r="M12" s="52"/>
      <c r="N12" s="247" t="str">
        <f>IF(O$12&lt;0,"д.б. &gt;=0","")</f>
        <v/>
      </c>
      <c r="O12" s="81">
        <v>0</v>
      </c>
      <c r="P12" s="51"/>
    </row>
    <row r="13" spans="1:16" ht="16.5" x14ac:dyDescent="0.3">
      <c r="A13" s="322" t="s">
        <v>93</v>
      </c>
      <c r="B13" s="247" t="str">
        <f>IF(AND(C$12=0,C$13&lt;&gt;0),"д.б. =0","")</f>
        <v/>
      </c>
      <c r="C13" s="319">
        <v>0</v>
      </c>
      <c r="D13" s="53"/>
      <c r="E13" s="54"/>
      <c r="F13" s="247" t="str">
        <f>IF(AND(G$12=0,G$13&lt;&gt;0),"д.б. =0","")</f>
        <v/>
      </c>
      <c r="G13" s="319">
        <v>0</v>
      </c>
      <c r="H13" s="48"/>
      <c r="I13" s="50"/>
      <c r="J13" s="247" t="str">
        <f>IF(AND(K$12=0,K$13&lt;&gt;0),"д.б. =0","")</f>
        <v/>
      </c>
      <c r="K13" s="319">
        <v>0</v>
      </c>
      <c r="L13" s="51"/>
      <c r="M13" s="52"/>
      <c r="N13" s="247" t="str">
        <f>IF(AND(O$12=0,O$13&lt;&gt;0),"д.б. =0","")</f>
        <v/>
      </c>
      <c r="O13" s="319">
        <v>0</v>
      </c>
      <c r="P13" s="51"/>
    </row>
    <row r="14" spans="1:16" ht="15" x14ac:dyDescent="0.25">
      <c r="A14" s="47"/>
      <c r="B14" s="247"/>
      <c r="C14" s="335"/>
      <c r="D14" s="53"/>
      <c r="E14" s="54"/>
      <c r="F14" s="247"/>
      <c r="G14" s="335"/>
      <c r="H14" s="48"/>
      <c r="I14" s="50"/>
      <c r="J14" s="247"/>
      <c r="K14" s="335"/>
      <c r="L14" s="51"/>
      <c r="M14" s="52"/>
      <c r="N14" s="247"/>
      <c r="O14" s="335"/>
      <c r="P14" s="51"/>
    </row>
    <row r="15" spans="1:16" ht="15" x14ac:dyDescent="0.25">
      <c r="A15" s="27" t="s">
        <v>83</v>
      </c>
      <c r="B15" s="247" t="str">
        <f>IF(C$15&lt;0,"д.б. &gt;=0","")</f>
        <v/>
      </c>
      <c r="C15" s="233">
        <v>12</v>
      </c>
      <c r="D15" s="234"/>
      <c r="E15" s="235"/>
      <c r="F15" s="247" t="str">
        <f>IF(G$15&lt;0,"д.б. &gt;=0","")</f>
        <v/>
      </c>
      <c r="G15" s="233">
        <v>15</v>
      </c>
      <c r="H15" s="234"/>
      <c r="I15" s="236"/>
      <c r="J15" s="247" t="str">
        <f>IF(K$15&lt;0,"д.б. &gt;=0","")</f>
        <v/>
      </c>
      <c r="K15" s="233">
        <v>0</v>
      </c>
      <c r="L15" s="237"/>
      <c r="M15" s="238"/>
      <c r="N15" s="247" t="str">
        <f>IF(O$15&lt;0,"д.б. &gt;=0","")</f>
        <v/>
      </c>
      <c r="O15" s="233">
        <v>14</v>
      </c>
      <c r="P15" s="232"/>
    </row>
    <row r="16" spans="1:16" ht="15" x14ac:dyDescent="0.25">
      <c r="A16" s="38" t="s">
        <v>86</v>
      </c>
      <c r="B16" s="247" t="str">
        <f>IF(C$16&lt;0,"д.б. &gt;=0","")</f>
        <v/>
      </c>
      <c r="C16" s="4">
        <v>400</v>
      </c>
      <c r="D16" s="255"/>
      <c r="E16" s="256"/>
      <c r="F16" s="247" t="str">
        <f>IF(G$16&lt;0,"д.б. &gt;=0","")</f>
        <v/>
      </c>
      <c r="G16" s="4">
        <v>200</v>
      </c>
      <c r="H16" s="255"/>
      <c r="I16" s="257"/>
      <c r="J16" s="247" t="str">
        <f>IF(K$16&lt;0,"д.б. &gt;=0","")</f>
        <v/>
      </c>
      <c r="K16" s="4">
        <v>200</v>
      </c>
      <c r="L16" s="258"/>
      <c r="M16" s="259"/>
      <c r="N16" s="247" t="str">
        <f>IF(O$16&lt;0,"д.б. &gt;=0","")</f>
        <v/>
      </c>
      <c r="O16" s="4">
        <v>40</v>
      </c>
      <c r="P16" s="232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6" t="str">
        <f>IF(C$2&lt;2,"д.б. &gt;1","")</f>
        <v/>
      </c>
      <c r="C2" s="81">
        <v>16</v>
      </c>
      <c r="D2" s="82"/>
      <c r="E2" s="83"/>
      <c r="F2" s="246" t="str">
        <f>IF(G$2&lt;2,"д.б. &gt;1","")</f>
        <v/>
      </c>
      <c r="G2" s="81">
        <v>14</v>
      </c>
      <c r="H2" s="82"/>
      <c r="I2" s="84"/>
      <c r="J2" s="246" t="str">
        <f>IF(K$2&lt;2,"д.б. &gt;1","")</f>
        <v/>
      </c>
      <c r="K2" s="81">
        <v>15</v>
      </c>
      <c r="L2" s="82"/>
      <c r="M2" s="85"/>
      <c r="N2" s="246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6"/>
      <c r="C3" s="325"/>
      <c r="D3" s="29"/>
      <c r="E3" s="30"/>
      <c r="F3" s="246"/>
      <c r="G3" s="325"/>
      <c r="H3" s="29"/>
      <c r="I3" s="31"/>
      <c r="J3" s="246"/>
      <c r="K3" s="325"/>
      <c r="L3" s="29"/>
      <c r="M3" s="33"/>
      <c r="N3" s="246"/>
      <c r="O3" s="325"/>
      <c r="P3" s="29"/>
    </row>
    <row r="4" spans="1:16" ht="5.25" customHeight="1" x14ac:dyDescent="0.25">
      <c r="A4" s="96"/>
      <c r="B4" s="246"/>
      <c r="C4" s="326"/>
      <c r="D4" s="29"/>
      <c r="E4" s="30"/>
      <c r="F4" s="246"/>
      <c r="G4" s="326"/>
      <c r="H4" s="29"/>
      <c r="I4" s="31"/>
      <c r="J4" s="246"/>
      <c r="K4" s="326"/>
      <c r="L4" s="29"/>
      <c r="M4" s="33"/>
      <c r="N4" s="246"/>
      <c r="O4" s="326"/>
      <c r="P4" s="29"/>
    </row>
    <row r="5" spans="1:16" ht="6" customHeight="1" x14ac:dyDescent="0.25">
      <c r="A5" s="97"/>
      <c r="B5" s="246"/>
      <c r="C5" s="327"/>
      <c r="D5" s="35"/>
      <c r="E5" s="36"/>
      <c r="F5" s="246"/>
      <c r="G5" s="327"/>
      <c r="H5" s="35"/>
      <c r="I5" s="37"/>
      <c r="J5" s="246"/>
      <c r="K5" s="327"/>
      <c r="L5" s="35"/>
      <c r="M5" s="33"/>
      <c r="N5" s="246"/>
      <c r="O5" s="327"/>
      <c r="P5" s="35"/>
    </row>
    <row r="6" spans="1:16" ht="15" x14ac:dyDescent="0.25">
      <c r="A6" s="98" t="s">
        <v>13</v>
      </c>
      <c r="B6" s="246" t="str">
        <f>IF(C$6&lt;0,"д.б. &gt;=0","")</f>
        <v/>
      </c>
      <c r="C6" s="4">
        <v>6</v>
      </c>
      <c r="D6" s="35"/>
      <c r="E6" s="40"/>
      <c r="F6" s="246" t="str">
        <f>IF(G$6&lt;0,"д.б. &gt;=0","")</f>
        <v/>
      </c>
      <c r="G6" s="4">
        <v>4</v>
      </c>
      <c r="H6" s="39"/>
      <c r="I6" s="41"/>
      <c r="J6" s="246" t="str">
        <f>IF(K$6&lt;0,"д.б. &gt;=0","")</f>
        <v/>
      </c>
      <c r="K6" s="4">
        <v>10</v>
      </c>
      <c r="L6" s="39"/>
      <c r="M6" s="33"/>
      <c r="N6" s="246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47" t="str">
        <f>IF(AND(C$6=0,C$7&lt;&gt;0),"д.б. =0","")</f>
        <v/>
      </c>
      <c r="C7" s="86">
        <v>1</v>
      </c>
      <c r="D7" s="92"/>
      <c r="E7" s="93"/>
      <c r="F7" s="247" t="str">
        <f>IF(AND(G$6=0,G$7&lt;&gt;0),"д.б. =0","")</f>
        <v/>
      </c>
      <c r="G7" s="86">
        <v>1</v>
      </c>
      <c r="H7" s="92"/>
      <c r="I7" s="94"/>
      <c r="J7" s="247" t="str">
        <f>IF(AND(K$6=0,K$7&lt;&gt;0),"д.б. =0","")</f>
        <v/>
      </c>
      <c r="K7" s="86">
        <v>8</v>
      </c>
      <c r="L7" s="92"/>
      <c r="M7" s="95"/>
      <c r="N7" s="247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45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8"/>
      <c r="D8" s="245"/>
      <c r="E8" s="36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8"/>
      <c r="H8" s="245"/>
      <c r="I8" s="37"/>
      <c r="J8" s="245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8"/>
      <c r="L8" s="245"/>
      <c r="M8" s="33"/>
      <c r="N8" s="245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8"/>
      <c r="P8" s="245"/>
    </row>
    <row r="9" spans="1:16" ht="15" x14ac:dyDescent="0.25">
      <c r="A9" s="99" t="s">
        <v>15</v>
      </c>
      <c r="B9" s="246" t="str">
        <f>IF(C$9&lt;0,"д.б. &gt;=0","")</f>
        <v/>
      </c>
      <c r="C9" s="24">
        <v>11</v>
      </c>
      <c r="D9" s="48" t="s">
        <v>11</v>
      </c>
      <c r="E9" s="49"/>
      <c r="F9" s="246" t="str">
        <f>IF(G$9&lt;0,"д.б. &gt;=0","")</f>
        <v/>
      </c>
      <c r="G9" s="24">
        <v>10</v>
      </c>
      <c r="H9" s="48" t="s">
        <v>11</v>
      </c>
      <c r="I9" s="50"/>
      <c r="J9" s="246" t="str">
        <f>IF(K$9&lt;0,"д.б. &gt;=0","")</f>
        <v/>
      </c>
      <c r="K9" s="24">
        <v>0</v>
      </c>
      <c r="L9" s="48" t="s">
        <v>11</v>
      </c>
      <c r="M9" s="52"/>
      <c r="N9" s="246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7" t="str">
        <f>IF(AND(C$9=0,C$10&lt;&gt;0),"д.б. =0","")</f>
        <v/>
      </c>
      <c r="C10" s="87">
        <v>6</v>
      </c>
      <c r="D10" s="88"/>
      <c r="E10" s="89"/>
      <c r="F10" s="247" t="str">
        <f>IF(AND(G$9=0,G$10&lt;&gt;0),"д.б. =0","")</f>
        <v/>
      </c>
      <c r="G10" s="87">
        <v>7</v>
      </c>
      <c r="H10" s="88"/>
      <c r="I10" s="90"/>
      <c r="J10" s="247" t="str">
        <f>IF(AND(K$9=0,K$10&lt;&gt;0),"д.б. =0","")</f>
        <v/>
      </c>
      <c r="K10" s="87">
        <v>0</v>
      </c>
      <c r="L10" s="88"/>
      <c r="M10" s="91"/>
      <c r="N10" s="247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7"/>
      <c r="C11" s="329"/>
      <c r="D11" s="88"/>
      <c r="E11" s="89"/>
      <c r="F11" s="247"/>
      <c r="G11" s="329"/>
      <c r="H11" s="88"/>
      <c r="I11" s="90"/>
      <c r="J11" s="247"/>
      <c r="K11" s="329"/>
      <c r="L11" s="88"/>
      <c r="M11" s="91"/>
      <c r="N11" s="247"/>
      <c r="O11" s="329"/>
      <c r="P11" s="88"/>
    </row>
    <row r="12" spans="1:16" ht="15" x14ac:dyDescent="0.25">
      <c r="A12" s="96" t="s">
        <v>90</v>
      </c>
      <c r="B12" s="247" t="str">
        <f>IF(C$12&lt;0,"д.б. &gt;=0","")</f>
        <v/>
      </c>
      <c r="C12" s="248">
        <v>14</v>
      </c>
      <c r="D12" s="317"/>
      <c r="E12" s="241"/>
      <c r="F12" s="247" t="str">
        <f>IF(G$12&lt;0,"д.б. &gt;=0","")</f>
        <v/>
      </c>
      <c r="G12" s="248">
        <v>12</v>
      </c>
      <c r="H12" s="317"/>
      <c r="I12" s="243"/>
      <c r="J12" s="247" t="str">
        <f>IF(K$12&lt;0,"д.б. &gt;=0","")</f>
        <v/>
      </c>
      <c r="K12" s="248">
        <v>0</v>
      </c>
      <c r="L12" s="317"/>
      <c r="M12" s="284"/>
      <c r="N12" s="247" t="str">
        <f>IF(O$12&lt;0,"д.б. &gt;=0","")</f>
        <v/>
      </c>
      <c r="O12" s="248">
        <v>0</v>
      </c>
      <c r="P12" s="317"/>
    </row>
    <row r="13" spans="1:16" ht="15" x14ac:dyDescent="0.25">
      <c r="A13" s="96" t="s">
        <v>91</v>
      </c>
      <c r="B13" s="247" t="str">
        <f>IF(AND(C$12=0,C$13&lt;&gt;0),"д.б. =0","")</f>
        <v/>
      </c>
      <c r="C13" s="248">
        <v>2</v>
      </c>
      <c r="D13" s="317"/>
      <c r="E13" s="241"/>
      <c r="F13" s="247" t="str">
        <f>IF(AND(G$12=0,G$13&lt;&gt;0),"д.б. =0","")</f>
        <v/>
      </c>
      <c r="G13" s="248">
        <v>8</v>
      </c>
      <c r="H13" s="317"/>
      <c r="I13" s="243"/>
      <c r="J13" s="247" t="str">
        <f>IF(AND(K$12=0,K$13&lt;&gt;0),"д.б. =0","")</f>
        <v/>
      </c>
      <c r="K13" s="248">
        <v>0</v>
      </c>
      <c r="L13" s="317"/>
      <c r="M13" s="284"/>
      <c r="N13" s="247" t="str">
        <f>IF(AND(O$12=0,O$13&lt;&gt;0),"д.б. =0","")</f>
        <v/>
      </c>
      <c r="O13" s="248">
        <v>0</v>
      </c>
      <c r="P13" s="317"/>
    </row>
    <row r="14" spans="1:16" ht="15" x14ac:dyDescent="0.25">
      <c r="A14" s="99"/>
      <c r="B14" s="246"/>
      <c r="C14" s="329"/>
      <c r="D14" s="88"/>
      <c r="E14" s="89"/>
      <c r="F14" s="246"/>
      <c r="G14" s="329"/>
      <c r="H14" s="88"/>
      <c r="I14" s="90"/>
      <c r="J14" s="246"/>
      <c r="K14" s="329"/>
      <c r="L14" s="88"/>
      <c r="M14" s="91"/>
      <c r="N14" s="246"/>
      <c r="O14" s="329"/>
      <c r="P14" s="88"/>
    </row>
    <row r="15" spans="1:16" ht="15" x14ac:dyDescent="0.25">
      <c r="A15" s="96" t="s">
        <v>82</v>
      </c>
      <c r="B15" s="246" t="str">
        <f>IF(C$15&lt;0,"д.б. &gt;=0","")</f>
        <v/>
      </c>
      <c r="C15" s="231">
        <v>17</v>
      </c>
      <c r="D15" s="323"/>
      <c r="E15" s="332"/>
      <c r="F15" s="246" t="str">
        <f>IF(G$15&lt;0,"д.б. &gt;=0","")</f>
        <v/>
      </c>
      <c r="G15" s="231">
        <v>15</v>
      </c>
      <c r="H15" s="323"/>
      <c r="I15" s="333"/>
      <c r="J15" s="246" t="str">
        <f>IF(K$15&lt;0,"д.б. &gt;=0","")</f>
        <v/>
      </c>
      <c r="K15" s="231">
        <v>16</v>
      </c>
      <c r="L15" s="323"/>
      <c r="M15" s="334"/>
      <c r="N15" s="246" t="str">
        <f>IF(O$15&lt;0,"д.б. &gt;=0","")</f>
        <v/>
      </c>
      <c r="O15" s="231">
        <v>10</v>
      </c>
      <c r="P15" s="88"/>
    </row>
    <row r="16" spans="1:16" ht="15" x14ac:dyDescent="0.25">
      <c r="A16" s="96"/>
      <c r="B16" s="246"/>
      <c r="C16" s="331"/>
      <c r="D16" s="323"/>
      <c r="E16" s="332"/>
      <c r="F16" s="246"/>
      <c r="G16" s="331"/>
      <c r="H16" s="323"/>
      <c r="I16" s="333"/>
      <c r="J16" s="246"/>
      <c r="K16" s="331"/>
      <c r="L16" s="323"/>
      <c r="M16" s="334"/>
      <c r="N16" s="246"/>
      <c r="O16" s="331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46" t="str">
        <f>IF(C$2&lt;=0,"д.б. &gt;0","")</f>
        <v/>
      </c>
      <c r="C2" s="81">
        <v>16</v>
      </c>
      <c r="D2" s="83"/>
      <c r="E2" s="246" t="str">
        <f>IF(F$2&lt;=0,"д.б. &gt;0","")</f>
        <v/>
      </c>
      <c r="F2" s="81">
        <v>14</v>
      </c>
      <c r="G2" s="84"/>
      <c r="H2" s="246" t="str">
        <f>IF(I$2&lt;=0,"д.б. &gt;0","")</f>
        <v/>
      </c>
      <c r="I2" s="81">
        <v>20</v>
      </c>
      <c r="J2" s="85"/>
      <c r="K2" s="246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5"/>
      <c r="D3" s="30"/>
      <c r="E3" s="28"/>
      <c r="F3" s="325"/>
      <c r="G3" s="31"/>
      <c r="H3" s="28"/>
      <c r="I3" s="325"/>
      <c r="J3" s="33"/>
      <c r="K3" s="28"/>
      <c r="L3" s="325"/>
    </row>
    <row r="4" spans="1:12" ht="4.5" customHeight="1" x14ac:dyDescent="0.25">
      <c r="A4" s="96"/>
      <c r="B4" s="28"/>
      <c r="C4" s="326"/>
      <c r="D4" s="30"/>
      <c r="E4" s="28"/>
      <c r="F4" s="326"/>
      <c r="G4" s="31"/>
      <c r="H4" s="28"/>
      <c r="I4" s="326"/>
      <c r="J4" s="33"/>
      <c r="K4" s="28"/>
      <c r="L4" s="326"/>
    </row>
    <row r="5" spans="1:12" ht="5.25" customHeight="1" x14ac:dyDescent="0.25">
      <c r="A5" s="97"/>
      <c r="B5" s="28"/>
      <c r="C5" s="327"/>
      <c r="D5" s="36"/>
      <c r="E5" s="28"/>
      <c r="F5" s="327"/>
      <c r="G5" s="37"/>
      <c r="H5" s="28"/>
      <c r="I5" s="327"/>
      <c r="J5" s="33"/>
      <c r="K5" s="28"/>
      <c r="L5" s="327"/>
    </row>
    <row r="6" spans="1:12" ht="15" x14ac:dyDescent="0.25">
      <c r="A6" s="98" t="s">
        <v>22</v>
      </c>
      <c r="B6" s="246" t="str">
        <f>IF(C$6&lt;0,"д.б. &gt;=0","")</f>
        <v/>
      </c>
      <c r="C6" s="4">
        <v>6</v>
      </c>
      <c r="D6" s="40"/>
      <c r="E6" s="246" t="str">
        <f>IF(F$6&lt;0,"д.б. &gt;=0","")</f>
        <v/>
      </c>
      <c r="F6" s="4">
        <v>4</v>
      </c>
      <c r="G6" s="41"/>
      <c r="H6" s="246" t="str">
        <f>IF(I$6&lt;0,"д.б. &gt;=0","")</f>
        <v/>
      </c>
      <c r="I6" s="4">
        <v>9</v>
      </c>
      <c r="J6" s="33"/>
      <c r="K6" s="246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47" t="str">
        <f>IF(AND(C$6=0,C$7&lt;&gt;0),"д.б. =0","")</f>
        <v/>
      </c>
      <c r="C7" s="86">
        <v>1</v>
      </c>
      <c r="D7" s="93"/>
      <c r="E7" s="247" t="str">
        <f>IF(AND(F$6=0,F$7&lt;&gt;0),"д.б. =0","")</f>
        <v/>
      </c>
      <c r="F7" s="86">
        <v>1</v>
      </c>
      <c r="G7" s="94"/>
      <c r="H7" s="247" t="str">
        <f>IF(AND(I$6=0,I$7&lt;&gt;0),"д.б. =0","")</f>
        <v/>
      </c>
      <c r="I7" s="86">
        <v>-1</v>
      </c>
      <c r="J7" s="95"/>
      <c r="K7" s="247" t="str">
        <f>IF(AND(L$6=0,L$7&lt;&gt;0),"д.б. =0","")</f>
        <v/>
      </c>
      <c r="L7" s="86">
        <v>1</v>
      </c>
    </row>
    <row r="8" spans="1:12" ht="15" x14ac:dyDescent="0.25">
      <c r="A8" s="97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28"/>
      <c r="D8" s="36"/>
      <c r="E8" s="245" t="str">
        <f>IF(OR(F$6=1,F$6&lt;0,F$9=1,F$9&lt;0,F$12=1,F$12&lt;0,AND(F$6&gt;1,F$9&gt;1,F$6&gt;=F$9),AND(F$6&gt;1,F$12&gt;1,F$6&gt;=F$12),AND(F$9&gt;1,F$12&gt;1,F$9&gt;=F$12)),"ОШИБКА в № колен","")</f>
        <v/>
      </c>
      <c r="F8" s="328"/>
      <c r="G8" s="37"/>
      <c r="H8" s="245" t="str">
        <f>IF(OR(I$6=1,I$6&lt;0,I$9=1,I$9&lt;0,I$12=1,I$12&lt;0,AND(I$6&gt;1,I$9&gt;1,I$6&gt;=I$9),AND(I$6&gt;1,I$12&gt;1,I$6&gt;=I$12),AND(I$9&gt;1,I$12&gt;1,I$9&gt;=I$12)),"ОШИБКА в № колен","")</f>
        <v/>
      </c>
      <c r="I8" s="328"/>
      <c r="J8" s="33"/>
      <c r="K8" s="245" t="str">
        <f>IF(OR(L$6=1,L$6&lt;0,L$9=1,L$9&lt;0,L$12=1,L$12&lt;0,AND(L$6&gt;1,L$9&gt;1,L$6&gt;=L$9),AND(L$6&gt;1,L$12&gt;1,L$6&gt;=L$12),AND(L$9&gt;1,L$12&gt;1,L$9&gt;=L$12)),"ОШИБКА в № колен","")</f>
        <v/>
      </c>
      <c r="L8" s="328"/>
    </row>
    <row r="9" spans="1:12" ht="15" x14ac:dyDescent="0.25">
      <c r="A9" s="285" t="s">
        <v>87</v>
      </c>
      <c r="B9" s="306" t="str">
        <f>IF(C$9&lt;0,"д.б. &gt;=0","")</f>
        <v/>
      </c>
      <c r="C9" s="307">
        <v>10</v>
      </c>
      <c r="D9" s="300"/>
      <c r="E9" s="306" t="str">
        <f>IF(F$9&lt;0,"д.б. &gt;=0","")</f>
        <v/>
      </c>
      <c r="F9" s="301">
        <v>8</v>
      </c>
      <c r="G9" s="302"/>
      <c r="H9" s="306" t="str">
        <f>IF(I$9&lt;0,"д.б. &gt;=0","")</f>
        <v/>
      </c>
      <c r="I9" s="301">
        <v>12</v>
      </c>
      <c r="J9" s="303"/>
      <c r="K9" s="306" t="str">
        <f>IF(L$9&lt;0,"д.б. &gt;=0","")</f>
        <v/>
      </c>
      <c r="L9" s="308">
        <v>9</v>
      </c>
    </row>
    <row r="10" spans="1:12" ht="15" x14ac:dyDescent="0.25">
      <c r="A10" s="285" t="s">
        <v>88</v>
      </c>
      <c r="B10" s="306" t="str">
        <f>IF(AND(C$9=0,C$10&lt;&gt;0),"д.б. =0","")</f>
        <v/>
      </c>
      <c r="C10" s="307">
        <v>2</v>
      </c>
      <c r="D10" s="300"/>
      <c r="E10" s="306" t="str">
        <f>IF(AND(F$9=0,F$10&lt;&gt;0),"д.б. =0","")</f>
        <v/>
      </c>
      <c r="F10" s="301">
        <v>2</v>
      </c>
      <c r="G10" s="302"/>
      <c r="H10" s="306" t="str">
        <f>IF(AND(I$9=0,I$10&lt;&gt;0),"д.б. =0","")</f>
        <v/>
      </c>
      <c r="I10" s="301">
        <v>1</v>
      </c>
      <c r="J10" s="303"/>
      <c r="K10" s="306" t="str">
        <f>IF(AND(L$9=0,L$10&lt;&gt;0),"д.б. =0","")</f>
        <v/>
      </c>
      <c r="L10" s="308">
        <v>1</v>
      </c>
    </row>
    <row r="11" spans="1:12" ht="14.25" customHeight="1" x14ac:dyDescent="0.25">
      <c r="A11" s="99"/>
      <c r="B11" s="247"/>
      <c r="C11" s="329"/>
      <c r="D11" s="89"/>
      <c r="E11" s="247"/>
      <c r="F11" s="329"/>
      <c r="G11" s="90"/>
      <c r="H11" s="247"/>
      <c r="I11" s="329"/>
      <c r="J11" s="91"/>
      <c r="K11" s="247"/>
      <c r="L11" s="329"/>
    </row>
    <row r="12" spans="1:12" ht="15" x14ac:dyDescent="0.25">
      <c r="A12" s="96" t="s">
        <v>24</v>
      </c>
      <c r="B12" s="306" t="str">
        <f>IF(C$12&lt;0,"д.б. &gt;=0","")</f>
        <v/>
      </c>
      <c r="C12" s="233">
        <v>12</v>
      </c>
      <c r="D12" s="281"/>
      <c r="E12" s="306" t="str">
        <f>IF(F$12&lt;0,"д.б. &gt;=0","")</f>
        <v/>
      </c>
      <c r="F12" s="233">
        <v>10</v>
      </c>
      <c r="G12" s="282"/>
      <c r="H12" s="306" t="str">
        <f>IF(I$12&lt;0,"д.б. &gt;=0","")</f>
        <v/>
      </c>
      <c r="I12" s="233">
        <v>14</v>
      </c>
      <c r="J12" s="283"/>
      <c r="K12" s="306" t="str">
        <f>IF(L$12&lt;0,"д.б. &gt;=0","")</f>
        <v/>
      </c>
      <c r="L12" s="233">
        <v>11</v>
      </c>
    </row>
    <row r="13" spans="1:12" ht="15" x14ac:dyDescent="0.25">
      <c r="A13" s="96" t="s">
        <v>25</v>
      </c>
      <c r="B13" s="306" t="str">
        <f>IF(AND(C$12=0,C$13&lt;&gt;0),"д.б. =0","")</f>
        <v/>
      </c>
      <c r="C13" s="248">
        <v>12</v>
      </c>
      <c r="D13" s="241"/>
      <c r="E13" s="306" t="str">
        <f>IF(AND(F$12=0,F$13&lt;&gt;0),"д.б. =0","")</f>
        <v/>
      </c>
      <c r="F13" s="248">
        <v>12</v>
      </c>
      <c r="G13" s="243"/>
      <c r="H13" s="306" t="str">
        <f>IF(AND(I$12=0,I$13&lt;&gt;0),"д.б. =0","")</f>
        <v/>
      </c>
      <c r="I13" s="248">
        <v>10</v>
      </c>
      <c r="J13" s="284"/>
      <c r="K13" s="306" t="str">
        <f>IF(AND(L$12=0,L$13&lt;&gt;0),"д.б. =0","")</f>
        <v/>
      </c>
      <c r="L13" s="248">
        <v>10</v>
      </c>
    </row>
    <row r="14" spans="1:12" ht="6" customHeight="1" x14ac:dyDescent="0.25">
      <c r="A14" s="96"/>
      <c r="B14" s="314"/>
      <c r="C14" s="330"/>
      <c r="D14" s="241"/>
      <c r="E14" s="314"/>
      <c r="F14" s="330"/>
      <c r="G14" s="243"/>
      <c r="H14" s="314"/>
      <c r="I14" s="330"/>
      <c r="J14" s="284"/>
      <c r="K14" s="314"/>
      <c r="L14" s="330"/>
    </row>
    <row r="15" spans="1:12" ht="6" customHeight="1" x14ac:dyDescent="0.25">
      <c r="A15" s="96"/>
      <c r="B15" s="314"/>
      <c r="C15" s="330"/>
      <c r="D15" s="241"/>
      <c r="E15" s="314"/>
      <c r="F15" s="330"/>
      <c r="G15" s="243"/>
      <c r="H15" s="314"/>
      <c r="I15" s="330"/>
      <c r="J15" s="284"/>
      <c r="K15" s="314"/>
      <c r="L15" s="330"/>
    </row>
    <row r="16" spans="1:12" ht="6" customHeight="1" x14ac:dyDescent="0.25">
      <c r="A16" s="96"/>
      <c r="B16" s="314"/>
      <c r="C16" s="330"/>
      <c r="D16" s="241"/>
      <c r="E16" s="314"/>
      <c r="F16" s="330"/>
      <c r="G16" s="243"/>
      <c r="H16" s="314"/>
      <c r="I16" s="330"/>
      <c r="J16" s="284"/>
      <c r="K16" s="314"/>
      <c r="L16" s="330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24" t="s">
        <v>17</v>
      </c>
      <c r="C18" s="60" t="s">
        <v>20</v>
      </c>
      <c r="D18" s="61"/>
      <c r="E18" s="324" t="s">
        <v>17</v>
      </c>
      <c r="F18" s="60" t="s">
        <v>20</v>
      </c>
      <c r="G18" s="63"/>
      <c r="H18" s="324" t="s">
        <v>17</v>
      </c>
      <c r="I18" s="60" t="s">
        <v>20</v>
      </c>
      <c r="J18" s="65"/>
      <c r="K18" s="324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zoomScale="85" zoomScaleNormal="85" workbookViewId="0">
      <selection activeCell="A3" sqref="A3"/>
    </sheetView>
  </sheetViews>
  <sheetFormatPr defaultColWidth="9.140625" defaultRowHeight="15" x14ac:dyDescent="0.25"/>
  <cols>
    <col min="1" max="1" width="16.7109375" style="391" customWidth="1"/>
    <col min="2" max="2" width="13.7109375" style="391" bestFit="1" customWidth="1"/>
    <col min="3" max="3" width="11" style="391" bestFit="1" customWidth="1"/>
    <col min="4" max="5" width="13.7109375" style="391" bestFit="1" customWidth="1"/>
    <col min="6" max="6" width="13.85546875" style="391" bestFit="1" customWidth="1"/>
    <col min="7" max="7" width="10.7109375" style="391" customWidth="1"/>
    <col min="8" max="10" width="9.140625" style="391"/>
    <col min="11" max="11" width="16.28515625" style="391" customWidth="1"/>
    <col min="12" max="12" width="9.140625" style="391"/>
    <col min="13" max="13" width="1.42578125" style="391" customWidth="1"/>
    <col min="14" max="16" width="9.140625" style="391"/>
    <col min="17" max="17" width="1.5703125" style="391" customWidth="1"/>
    <col min="18" max="22" width="9.140625" style="391"/>
    <col min="23" max="23" width="23.5703125" style="391" bestFit="1" customWidth="1"/>
    <col min="24" max="16384" width="9.140625" style="391"/>
  </cols>
  <sheetData>
    <row r="1" spans="1:34" x14ac:dyDescent="0.25">
      <c r="A1"/>
      <c r="B1" s="394" t="s">
        <v>639</v>
      </c>
      <c r="C1"/>
      <c r="D1" s="393"/>
      <c r="E1" s="393"/>
      <c r="F1" s="393"/>
      <c r="G1" s="393"/>
    </row>
    <row r="2" spans="1:34" x14ac:dyDescent="0.25">
      <c r="A2"/>
      <c r="B2" s="393" t="s">
        <v>97</v>
      </c>
      <c r="C2" s="393"/>
      <c r="D2" s="393"/>
      <c r="E2" t="s">
        <v>98</v>
      </c>
      <c r="F2"/>
      <c r="G2"/>
    </row>
    <row r="3" spans="1:34" ht="52.5" x14ac:dyDescent="0.3">
      <c r="A3" s="456" t="s">
        <v>624</v>
      </c>
      <c r="B3" s="447" t="s">
        <v>637</v>
      </c>
      <c r="C3" s="447" t="s">
        <v>638</v>
      </c>
      <c r="D3" s="457" t="s">
        <v>95</v>
      </c>
      <c r="E3" s="447" t="s">
        <v>637</v>
      </c>
      <c r="F3" s="447" t="s">
        <v>638</v>
      </c>
      <c r="G3" s="447" t="s">
        <v>95</v>
      </c>
      <c r="J3" s="428"/>
      <c r="K3"/>
      <c r="L3"/>
      <c r="M3" s="83"/>
      <c r="N3"/>
      <c r="O3"/>
      <c r="P3"/>
      <c r="Q3" s="84"/>
      <c r="R3"/>
      <c r="S3"/>
      <c r="T3"/>
      <c r="W3" s="428"/>
    </row>
    <row r="4" spans="1:34" x14ac:dyDescent="0.25">
      <c r="A4" s="455">
        <v>1</v>
      </c>
      <c r="B4" s="392">
        <v>0</v>
      </c>
      <c r="C4" s="392">
        <v>50.399999999999636</v>
      </c>
      <c r="D4" s="393">
        <v>1.7196990740740739</v>
      </c>
      <c r="E4" s="392">
        <v>0</v>
      </c>
      <c r="F4" s="392">
        <v>50.600000000000364</v>
      </c>
      <c r="G4" s="393">
        <v>2.8552199074074074</v>
      </c>
      <c r="J4"/>
      <c r="K4"/>
      <c r="L4"/>
      <c r="M4" s="83"/>
      <c r="N4"/>
      <c r="O4"/>
      <c r="P4"/>
      <c r="Q4" s="84"/>
      <c r="R4" s="277" t="s">
        <v>155</v>
      </c>
      <c r="S4"/>
      <c r="T4" s="278">
        <f>VLOOKUP(R4,SET_import!$A:$B,2,0)</f>
        <v>0</v>
      </c>
      <c r="W4" s="279" t="s">
        <v>183</v>
      </c>
      <c r="X4" s="391">
        <f>VLOOKUP(W4,SET_import!$A:$B,2,0)</f>
        <v>0</v>
      </c>
      <c r="Y4" s="391">
        <f>'Сводная МОДЕЛЬ 1x1'!$G$12</f>
        <v>0</v>
      </c>
      <c r="Z4" s="391">
        <f>IF(AA4="",X4,AA4)</f>
        <v>0</v>
      </c>
      <c r="AG4" s="391" t="s">
        <v>76</v>
      </c>
      <c r="AH4" s="391">
        <v>5</v>
      </c>
    </row>
    <row r="5" spans="1:34" x14ac:dyDescent="0.25">
      <c r="A5" s="455">
        <v>4</v>
      </c>
      <c r="B5" s="392">
        <v>50</v>
      </c>
      <c r="C5" s="392">
        <v>70.300000000000182</v>
      </c>
      <c r="D5" s="393">
        <v>5.8587615740740739</v>
      </c>
      <c r="E5" s="392">
        <v>40.099999999999454</v>
      </c>
      <c r="F5" s="392">
        <v>68.700000000000728</v>
      </c>
      <c r="G5" s="393">
        <v>4.5478009259259258</v>
      </c>
      <c r="J5" s="96" t="s">
        <v>170</v>
      </c>
      <c r="K5" s="246"/>
      <c r="L5" s="144">
        <f>VLOOKUP(J5,SET_import!$A:$B,2,0)</f>
        <v>2</v>
      </c>
      <c r="M5" s="83"/>
      <c r="N5" s="96" t="s">
        <v>146</v>
      </c>
      <c r="O5" s="246"/>
      <c r="P5" s="144">
        <f>VLOOKUP(N5,SET_import!$A:$B,2,0)</f>
        <v>20</v>
      </c>
      <c r="Q5" s="84"/>
      <c r="R5" s="96" t="s">
        <v>157</v>
      </c>
      <c r="S5" s="247"/>
      <c r="T5" s="149">
        <f>VLOOKUP(R5,SET_import!$A:$B,2,0)</f>
        <v>0.01</v>
      </c>
      <c r="W5" s="279" t="s">
        <v>184</v>
      </c>
      <c r="X5" s="391">
        <f>VLOOKUP(W5,SET_import!$A:$B,2,0)</f>
        <v>0</v>
      </c>
      <c r="Y5" s="391">
        <f>'Сводная МОДЕЛЬ 1x1'!$G$13</f>
        <v>0</v>
      </c>
      <c r="Z5" s="391">
        <f t="shared" ref="Z5:Z59" si="0">IF(AA5="",X5,AA5)</f>
        <v>0</v>
      </c>
      <c r="AG5" s="391" t="s">
        <v>373</v>
      </c>
      <c r="AH5" s="391">
        <v>5</v>
      </c>
    </row>
    <row r="6" spans="1:34" x14ac:dyDescent="0.25">
      <c r="A6" s="455">
        <v>2</v>
      </c>
      <c r="B6" s="392">
        <v>15.199999999999818</v>
      </c>
      <c r="C6" s="392">
        <v>92.699999999999818</v>
      </c>
      <c r="D6" s="393">
        <v>4.8899884259259263</v>
      </c>
      <c r="E6" s="392">
        <v>16.300000000000182</v>
      </c>
      <c r="F6" s="392">
        <v>58.200000000000728</v>
      </c>
      <c r="G6" s="393">
        <v>2.9779398148148148</v>
      </c>
      <c r="J6" s="96"/>
      <c r="K6" s="246"/>
      <c r="L6" s="326"/>
      <c r="M6" s="30"/>
      <c r="N6" s="430"/>
      <c r="O6" s="246"/>
      <c r="P6" s="325"/>
      <c r="Q6" s="31"/>
      <c r="R6" s="96" t="s">
        <v>158</v>
      </c>
      <c r="S6" s="247"/>
      <c r="T6" s="148">
        <f>VLOOKUP(R6,SET_import!$A:$B,2,0)</f>
        <v>5</v>
      </c>
      <c r="W6" s="254" t="s">
        <v>179</v>
      </c>
      <c r="X6" s="391">
        <f>VLOOKUP(W6,SET_import!$A:$B,2,0)</f>
        <v>3</v>
      </c>
      <c r="Y6" s="436">
        <f>'Сводная МОДЕЛЬ 1x1'!$G$6</f>
        <v>0</v>
      </c>
      <c r="Z6" s="391">
        <f t="shared" si="0"/>
        <v>3</v>
      </c>
      <c r="AG6" s="391" t="s">
        <v>78</v>
      </c>
      <c r="AH6" s="391">
        <v>3</v>
      </c>
    </row>
    <row r="7" spans="1:34" x14ac:dyDescent="0.25">
      <c r="A7" s="455">
        <v>5</v>
      </c>
      <c r="B7" s="392">
        <v>55.300000000000182</v>
      </c>
      <c r="C7" s="392">
        <v>72.800000000000182</v>
      </c>
      <c r="D7" s="393">
        <v>6.5226736111111112</v>
      </c>
      <c r="E7" s="392">
        <v>62.699999999999818</v>
      </c>
      <c r="F7" s="392">
        <v>75.099999999999454</v>
      </c>
      <c r="G7" s="393">
        <v>4.7661458333333329</v>
      </c>
      <c r="J7" s="96"/>
      <c r="K7" s="246"/>
      <c r="L7" s="326"/>
      <c r="M7" s="30"/>
      <c r="N7" s="430"/>
      <c r="O7" s="246"/>
      <c r="P7" s="326"/>
      <c r="Q7" s="31"/>
      <c r="R7" s="96" t="s">
        <v>159</v>
      </c>
      <c r="S7" s="247"/>
      <c r="T7" s="144">
        <f>VLOOKUP(R7,SET_import!$A:$B,2,0)</f>
        <v>8</v>
      </c>
      <c r="W7" s="96" t="s">
        <v>178</v>
      </c>
      <c r="X7" s="391">
        <f>VLOOKUP(W7,SET_import!$A:$B,2,0)</f>
        <v>8</v>
      </c>
      <c r="Y7" s="436">
        <f>'Сводная МОДЕЛЬ 1x1'!$G$2</f>
        <v>20</v>
      </c>
      <c r="Z7" s="391">
        <f t="shared" si="0"/>
        <v>8</v>
      </c>
      <c r="AG7" s="391" t="s">
        <v>77</v>
      </c>
      <c r="AH7" s="391">
        <v>5</v>
      </c>
    </row>
    <row r="8" spans="1:34" x14ac:dyDescent="0.25">
      <c r="A8" s="455">
        <v>3</v>
      </c>
      <c r="B8" s="392">
        <v>28.699999999998909</v>
      </c>
      <c r="C8" s="392">
        <v>65.799999999999272</v>
      </c>
      <c r="D8" s="393">
        <v>4.7968055555555553</v>
      </c>
      <c r="E8" s="392">
        <v>41.5</v>
      </c>
      <c r="F8" s="392">
        <v>71.400000000000546</v>
      </c>
      <c r="G8" s="393">
        <v>4.0125810185185182</v>
      </c>
      <c r="J8" s="97"/>
      <c r="K8" s="246"/>
      <c r="L8" s="375"/>
      <c r="M8" s="36"/>
      <c r="N8" s="430"/>
      <c r="O8" s="246"/>
      <c r="P8" s="327"/>
      <c r="Q8" s="37"/>
      <c r="R8" s="97"/>
      <c r="S8" s="247"/>
      <c r="T8" s="3"/>
      <c r="W8" s="254" t="s">
        <v>180</v>
      </c>
      <c r="X8" s="391">
        <f>VLOOKUP(W8,SET_import!$A:$B,2,0)</f>
        <v>1</v>
      </c>
      <c r="Y8" s="391">
        <f>'Сводная МОДЕЛЬ 1x1'!$G$7</f>
        <v>0</v>
      </c>
      <c r="Z8" s="391">
        <f t="shared" si="0"/>
        <v>1</v>
      </c>
      <c r="AG8" s="391" t="s">
        <v>60</v>
      </c>
      <c r="AH8" s="391">
        <v>5</v>
      </c>
    </row>
    <row r="9" spans="1:34" x14ac:dyDescent="0.25">
      <c r="A9" s="455">
        <v>7</v>
      </c>
      <c r="B9" s="392">
        <v>92.099999999999454</v>
      </c>
      <c r="C9" s="392">
        <v>84.799999999999272</v>
      </c>
      <c r="D9" s="393">
        <v>3.5065856481481483</v>
      </c>
      <c r="E9" s="392">
        <v>103.30000000000109</v>
      </c>
      <c r="F9" s="392">
        <v>85.699999999999818</v>
      </c>
      <c r="G9" s="393">
        <v>9.994340277777777</v>
      </c>
      <c r="J9" s="254" t="s">
        <v>171</v>
      </c>
      <c r="K9" s="246"/>
      <c r="L9" s="146">
        <f>VLOOKUP(J9,SET_import!$A:$B,2,0)</f>
        <v>5</v>
      </c>
      <c r="M9" s="40"/>
      <c r="N9" s="254" t="s">
        <v>147</v>
      </c>
      <c r="O9" s="246"/>
      <c r="P9" s="146">
        <f>VLOOKUP(N9,SET_import!$A:$B,2,0)</f>
        <v>0</v>
      </c>
      <c r="Q9" s="41"/>
      <c r="R9" s="254" t="s">
        <v>160</v>
      </c>
      <c r="S9" s="247"/>
      <c r="T9" s="147">
        <f>VLOOKUP(R9,SET_import!$A:$B,2,0)</f>
        <v>0</v>
      </c>
      <c r="W9" s="286" t="s">
        <v>181</v>
      </c>
      <c r="X9" s="391">
        <f>VLOOKUP(W9,SET_import!$A:$B,2,0)</f>
        <v>10</v>
      </c>
      <c r="Y9" s="436">
        <f>'Сводная МОДЕЛЬ 1x1'!$G$9</f>
        <v>0</v>
      </c>
      <c r="Z9" s="391">
        <f t="shared" si="0"/>
        <v>10</v>
      </c>
      <c r="AG9" s="391" t="s">
        <v>374</v>
      </c>
      <c r="AH9" s="391">
        <v>5</v>
      </c>
    </row>
    <row r="10" spans="1:34" x14ac:dyDescent="0.25">
      <c r="A10" s="455">
        <v>6</v>
      </c>
      <c r="B10" s="392">
        <v>76.200000000000728</v>
      </c>
      <c r="C10" s="392">
        <v>80.000000000001819</v>
      </c>
      <c r="D10" s="393">
        <v>10.111458333333333</v>
      </c>
      <c r="E10" s="392">
        <v>75.5</v>
      </c>
      <c r="F10" s="392">
        <v>79.000000000000909</v>
      </c>
      <c r="G10" s="393">
        <v>8.2957870370370372</v>
      </c>
      <c r="J10" s="254" t="s">
        <v>172</v>
      </c>
      <c r="K10" s="246"/>
      <c r="L10" s="145">
        <f>VLOOKUP(J10,SET_import!$A:$B,2,0)</f>
        <v>0</v>
      </c>
      <c r="M10" s="93"/>
      <c r="N10" s="254" t="s">
        <v>148</v>
      </c>
      <c r="O10" s="314"/>
      <c r="P10" s="145">
        <f>VLOOKUP(N10,SET_import!$A:$B,2,0)</f>
        <v>0</v>
      </c>
      <c r="Q10" s="94"/>
      <c r="R10" s="254" t="s">
        <v>161</v>
      </c>
      <c r="S10" s="247"/>
      <c r="T10" s="143">
        <f>VLOOKUP(R10,SET_import!$A:$B,2,0)</f>
        <v>0</v>
      </c>
      <c r="W10" s="286" t="s">
        <v>182</v>
      </c>
      <c r="X10" s="391">
        <f>VLOOKUP(W10,SET_import!$A:$B,2,0)</f>
        <v>7</v>
      </c>
      <c r="Y10" s="391">
        <f>'Сводная МОДЕЛЬ 1x1'!$G$10</f>
        <v>0</v>
      </c>
      <c r="Z10" s="391">
        <f t="shared" si="0"/>
        <v>7</v>
      </c>
      <c r="AG10" s="391" t="s">
        <v>375</v>
      </c>
      <c r="AH10" s="391">
        <v>3</v>
      </c>
    </row>
    <row r="11" spans="1:34" x14ac:dyDescent="0.25">
      <c r="A11" s="455">
        <v>9</v>
      </c>
      <c r="B11" s="392">
        <v>138.30000000000018</v>
      </c>
      <c r="C11" s="392">
        <v>97.000000000000909</v>
      </c>
      <c r="D11" s="393">
        <v>8.2777430555555558</v>
      </c>
      <c r="E11" s="392">
        <v>141.69999999999982</v>
      </c>
      <c r="F11" s="392">
        <v>98.599999999999454</v>
      </c>
      <c r="G11" s="393">
        <v>11.789259259259259</v>
      </c>
      <c r="J11" s="254"/>
      <c r="K11" s="245"/>
      <c r="L11" s="376"/>
      <c r="M11" s="40"/>
      <c r="N11" s="430"/>
      <c r="O11" s="245"/>
      <c r="P11" s="377"/>
      <c r="Q11" s="41"/>
      <c r="R11" s="254"/>
      <c r="S11" s="250"/>
      <c r="T11" s="377"/>
      <c r="W11" s="96" t="s">
        <v>185</v>
      </c>
      <c r="X11" s="391">
        <f>VLOOKUP(W11,SET_import!$A:$B,2,0)</f>
        <v>0</v>
      </c>
      <c r="Y11" s="391">
        <f>'Сводная МОДЕЛЬ 1x1'!$G$15</f>
        <v>0</v>
      </c>
      <c r="Z11" s="391">
        <f t="shared" si="0"/>
        <v>0</v>
      </c>
      <c r="AG11" s="391" t="s">
        <v>376</v>
      </c>
      <c r="AH11" s="391">
        <v>3</v>
      </c>
    </row>
    <row r="12" spans="1:34" x14ac:dyDescent="0.25">
      <c r="A12" s="455">
        <v>8</v>
      </c>
      <c r="B12" s="392">
        <v>115.00000000000091</v>
      </c>
      <c r="C12" s="392">
        <v>91.499999999999091</v>
      </c>
      <c r="D12" s="393">
        <v>8.4933796296296293</v>
      </c>
      <c r="E12" s="392">
        <v>136.79999999999927</v>
      </c>
      <c r="F12" s="392">
        <v>101.59999999999945</v>
      </c>
      <c r="G12" s="393">
        <v>17.49054398148148</v>
      </c>
      <c r="J12" s="286" t="s">
        <v>173</v>
      </c>
      <c r="K12" s="246"/>
      <c r="L12" s="287">
        <f>VLOOKUP(J12,SET_import!$A:$B,2,0)</f>
        <v>0</v>
      </c>
      <c r="M12" s="289"/>
      <c r="N12" s="286" t="s">
        <v>149</v>
      </c>
      <c r="O12" s="314"/>
      <c r="P12" s="287">
        <f>VLOOKUP(N12,SET_import!$A:$B,2,0)</f>
        <v>0</v>
      </c>
      <c r="Q12" s="291"/>
      <c r="R12" s="286" t="s">
        <v>162</v>
      </c>
      <c r="S12" s="247"/>
      <c r="T12" s="292">
        <f>VLOOKUP(R12,SET_import!$A:$B,2,0)</f>
        <v>0</v>
      </c>
      <c r="W12" s="98" t="s">
        <v>199</v>
      </c>
      <c r="X12" s="391">
        <f>VLOOKUP(W12,SET_import!$A:$B,2,0)</f>
        <v>0</v>
      </c>
      <c r="Y12" s="391">
        <f>'Сводная МОДЕЛЬ 1x1'!$K$16</f>
        <v>0</v>
      </c>
      <c r="Z12" s="391">
        <f t="shared" si="0"/>
        <v>0</v>
      </c>
      <c r="AG12" s="391" t="s">
        <v>69</v>
      </c>
      <c r="AH12" s="391">
        <v>5</v>
      </c>
    </row>
    <row r="13" spans="1:34" ht="16.5" x14ac:dyDescent="0.3">
      <c r="A13" s="455">
        <v>11</v>
      </c>
      <c r="B13" s="392">
        <v>210.80000000000018</v>
      </c>
      <c r="C13" s="392">
        <v>117.49999999999818</v>
      </c>
      <c r="D13" s="393">
        <v>17.23982638888889</v>
      </c>
      <c r="E13" s="392">
        <v>228.19999999999982</v>
      </c>
      <c r="F13" s="392">
        <v>119.90000000000055</v>
      </c>
      <c r="G13" s="393">
        <v>10.390405092592593</v>
      </c>
      <c r="J13" s="286" t="s">
        <v>174</v>
      </c>
      <c r="K13" s="246"/>
      <c r="L13" s="288">
        <f>VLOOKUP(J13,SET_import!$A:$B,2,0)</f>
        <v>0</v>
      </c>
      <c r="M13" s="295"/>
      <c r="N13" s="286" t="s">
        <v>150</v>
      </c>
      <c r="O13" s="314"/>
      <c r="P13" s="288">
        <f>VLOOKUP(N13,SET_import!$A:$B,2,0)</f>
        <v>0</v>
      </c>
      <c r="Q13" s="296"/>
      <c r="R13" s="286" t="s">
        <v>163</v>
      </c>
      <c r="S13" s="247"/>
      <c r="T13" s="297">
        <f>VLOOKUP(R13,SET_import!$A:$B,2,0)</f>
        <v>0</v>
      </c>
      <c r="W13" s="435" t="s">
        <v>114</v>
      </c>
      <c r="X13" s="391">
        <f>VLOOKUP(W13,SET_import!$A:$B,2,0)</f>
        <v>15</v>
      </c>
      <c r="Y13" s="391">
        <f>'Сводная МОДЕЛЬ 1x1'!$C$16</f>
        <v>15</v>
      </c>
      <c r="Z13" s="391">
        <f t="shared" si="0"/>
        <v>15</v>
      </c>
      <c r="AG13" s="391" t="s">
        <v>70</v>
      </c>
      <c r="AH13" s="391">
        <v>5</v>
      </c>
    </row>
    <row r="14" spans="1:34" x14ac:dyDescent="0.25">
      <c r="A14" s="455">
        <v>12</v>
      </c>
      <c r="B14" s="392">
        <v>262.5</v>
      </c>
      <c r="C14" s="392">
        <v>129.89999999999964</v>
      </c>
      <c r="D14" s="393">
        <v>25.573333333333334</v>
      </c>
      <c r="E14" s="392">
        <v>263</v>
      </c>
      <c r="F14" s="392">
        <v>131.40000000000055</v>
      </c>
      <c r="G14" s="393">
        <v>11.827395833333334</v>
      </c>
      <c r="J14" s="286"/>
      <c r="K14" s="246"/>
      <c r="L14" s="378"/>
      <c r="M14" s="295"/>
      <c r="N14" s="286"/>
      <c r="O14" s="314"/>
      <c r="P14" s="378"/>
      <c r="Q14" s="296"/>
      <c r="R14" s="286"/>
      <c r="S14" s="247"/>
      <c r="T14" s="379"/>
      <c r="W14" s="96" t="s">
        <v>189</v>
      </c>
      <c r="X14" s="391">
        <f>VLOOKUP(W14,SET_import!$A:$B,2,0)</f>
        <v>0.01</v>
      </c>
      <c r="Y14" s="437">
        <f>'Сводная МОДЕЛЬ 1x1'!$K$2</f>
        <v>0.01</v>
      </c>
      <c r="Z14" s="391">
        <f t="shared" si="0"/>
        <v>0.01</v>
      </c>
      <c r="AG14" s="391" t="s">
        <v>66</v>
      </c>
      <c r="AH14" s="391">
        <v>5</v>
      </c>
    </row>
    <row r="15" spans="1:34" x14ac:dyDescent="0.25">
      <c r="A15" s="455">
        <v>13</v>
      </c>
      <c r="B15" s="392">
        <v>320.89999999999964</v>
      </c>
      <c r="C15" s="392">
        <v>141.89999999999964</v>
      </c>
      <c r="D15" s="393">
        <v>13.128252314814814</v>
      </c>
      <c r="E15" s="392"/>
      <c r="F15" s="392"/>
      <c r="G15" s="393"/>
      <c r="J15" s="279" t="s">
        <v>175</v>
      </c>
      <c r="K15" s="246"/>
      <c r="L15" s="280">
        <f>VLOOKUP(J15,SET_import!$A:$B,2,0)</f>
        <v>0</v>
      </c>
      <c r="M15" s="295"/>
      <c r="N15" s="279" t="s">
        <v>151</v>
      </c>
      <c r="O15" s="247"/>
      <c r="P15" s="315">
        <f>VLOOKUP(N15,SET_import!$A:$B,2,0)</f>
        <v>0</v>
      </c>
      <c r="Q15" s="243"/>
      <c r="R15" s="279" t="s">
        <v>164</v>
      </c>
      <c r="S15" s="247"/>
      <c r="T15" s="318">
        <f>VLOOKUP(R15,SET_import!$A:$B,2,0)</f>
        <v>0</v>
      </c>
      <c r="W15" s="96" t="s">
        <v>190</v>
      </c>
      <c r="X15" s="391">
        <f>VLOOKUP(W15,SET_import!$A:$B,2,0)</f>
        <v>1.5</v>
      </c>
      <c r="Y15" s="391">
        <f>'Сводная МОДЕЛЬ 1x1'!$K$3</f>
        <v>5</v>
      </c>
      <c r="Z15" s="391">
        <f t="shared" si="0"/>
        <v>1.5</v>
      </c>
      <c r="AG15" s="391" t="s">
        <v>68</v>
      </c>
      <c r="AH15" s="391">
        <v>5</v>
      </c>
    </row>
    <row r="16" spans="1:34" x14ac:dyDescent="0.25">
      <c r="A16" s="455">
        <v>14</v>
      </c>
      <c r="B16" s="392">
        <v>383.10000000000127</v>
      </c>
      <c r="C16" s="392">
        <v>155.90000000000055</v>
      </c>
      <c r="D16" s="393">
        <v>45.657337962962963</v>
      </c>
      <c r="E16" s="392">
        <v>386.29999999999927</v>
      </c>
      <c r="F16" s="392">
        <v>153.19999999999982</v>
      </c>
      <c r="G16" s="393">
        <v>42.955497685185186</v>
      </c>
      <c r="J16" s="279" t="s">
        <v>176</v>
      </c>
      <c r="K16" s="246"/>
      <c r="L16" s="240">
        <f>VLOOKUP(J16,SET_import!$A:$B,2,0)</f>
        <v>0</v>
      </c>
      <c r="M16" s="295"/>
      <c r="N16" s="279" t="s">
        <v>152</v>
      </c>
      <c r="O16" s="247"/>
      <c r="P16" s="240">
        <f>VLOOKUP(N16,SET_import!$A:$B,2,0)</f>
        <v>0</v>
      </c>
      <c r="Q16" s="243"/>
      <c r="R16" s="279" t="s">
        <v>165</v>
      </c>
      <c r="S16" s="247"/>
      <c r="T16" s="316">
        <f>VLOOKUP(R16,SET_import!$A:$B,2,0)</f>
        <v>0</v>
      </c>
      <c r="W16" s="279" t="s">
        <v>196</v>
      </c>
      <c r="X16" s="391">
        <f>VLOOKUP(W16,SET_import!$A:$B,2,0)</f>
        <v>11</v>
      </c>
      <c r="Y16" s="436">
        <f>'Сводная МОДЕЛЬ 1x1'!$K$12</f>
        <v>0</v>
      </c>
      <c r="Z16" s="391">
        <f t="shared" si="0"/>
        <v>11</v>
      </c>
      <c r="AG16" s="391" t="s">
        <v>67</v>
      </c>
      <c r="AH16" s="391">
        <v>3</v>
      </c>
    </row>
    <row r="17" spans="1:34" x14ac:dyDescent="0.25">
      <c r="A17" s="455">
        <v>10</v>
      </c>
      <c r="B17" s="392"/>
      <c r="C17" s="392"/>
      <c r="D17" s="393"/>
      <c r="E17" s="392">
        <v>183.69999999999982</v>
      </c>
      <c r="F17" s="392">
        <v>109.00000000000091</v>
      </c>
      <c r="G17" s="393">
        <v>16.812650462962964</v>
      </c>
      <c r="J17" s="139"/>
      <c r="K17" s="246"/>
      <c r="L17" s="381"/>
      <c r="M17" s="141"/>
      <c r="N17" s="139"/>
      <c r="O17" s="246"/>
      <c r="P17" s="381"/>
      <c r="Q17" s="142"/>
      <c r="R17" s="139"/>
      <c r="S17" s="247"/>
      <c r="T17" s="382"/>
      <c r="W17" s="279" t="s">
        <v>197</v>
      </c>
      <c r="X17" s="391">
        <f>VLOOKUP(W17,SET_import!$A:$B,2,0)</f>
        <v>0.03</v>
      </c>
      <c r="Y17" s="391">
        <f>'Сводная МОДЕЛЬ 1x1'!$K$13</f>
        <v>0</v>
      </c>
      <c r="Z17" s="391">
        <f t="shared" si="0"/>
        <v>0.03</v>
      </c>
      <c r="AG17" s="391" t="s">
        <v>71</v>
      </c>
      <c r="AH17" s="391">
        <v>5</v>
      </c>
    </row>
    <row r="18" spans="1:34" x14ac:dyDescent="0.25">
      <c r="A18" s="455">
        <v>17</v>
      </c>
      <c r="B18" s="392"/>
      <c r="C18" s="392"/>
      <c r="D18" s="393"/>
      <c r="E18" s="392">
        <v>624.19999999999982</v>
      </c>
      <c r="F18" s="392">
        <v>179.30000000000018</v>
      </c>
      <c r="G18" s="393">
        <v>50.971793981481483</v>
      </c>
      <c r="J18"/>
      <c r="K18"/>
      <c r="L18"/>
      <c r="M18" s="241"/>
      <c r="N18" s="96" t="s">
        <v>153</v>
      </c>
      <c r="O18" s="246"/>
      <c r="P18" s="240">
        <f>VLOOKUP(N18,SET_import!$A:$B,2,0)</f>
        <v>0</v>
      </c>
      <c r="Q18" s="243"/>
      <c r="R18" s="96" t="s">
        <v>166</v>
      </c>
      <c r="S18" s="247"/>
      <c r="T18" s="261">
        <f>VLOOKUP(R18,SET_import!$A:$B,2,0)</f>
        <v>0</v>
      </c>
      <c r="W18" s="254" t="s">
        <v>193</v>
      </c>
      <c r="X18" s="391">
        <f>VLOOKUP(W18,SET_import!$A:$B,2,0)</f>
        <v>0.01</v>
      </c>
      <c r="Y18" s="391">
        <f>'Сводная МОДЕЛЬ 1x1'!$K$7</f>
        <v>0</v>
      </c>
      <c r="Z18" s="391">
        <f t="shared" si="0"/>
        <v>0.01</v>
      </c>
      <c r="AG18" s="391" t="s">
        <v>377</v>
      </c>
      <c r="AH18" s="391">
        <v>5</v>
      </c>
    </row>
    <row r="19" spans="1:34" x14ac:dyDescent="0.25">
      <c r="A19" s="455">
        <v>16</v>
      </c>
      <c r="B19" s="392">
        <v>545.29999999999927</v>
      </c>
      <c r="C19" s="392">
        <v>175.59999999999854</v>
      </c>
      <c r="D19" s="393">
        <v>80.516597222222217</v>
      </c>
      <c r="E19" s="392">
        <v>552.19999999999982</v>
      </c>
      <c r="F19" s="392">
        <v>176.70000000000073</v>
      </c>
      <c r="G19" s="393">
        <v>41.605324074074076</v>
      </c>
      <c r="J19" s="429" t="s">
        <v>113</v>
      </c>
      <c r="K19"/>
      <c r="L19" s="431">
        <f>VLOOKUP(J19,SET_import!$A:$B,2,0)</f>
        <v>15</v>
      </c>
      <c r="M19" s="241"/>
      <c r="N19" s="96"/>
      <c r="O19" s="242"/>
      <c r="P19" s="383"/>
      <c r="Q19" s="243"/>
      <c r="R19" s="98" t="s">
        <v>167</v>
      </c>
      <c r="S19" s="247"/>
      <c r="T19" s="260">
        <f>VLOOKUP(R19,SET_import!$A:$B,2,0)</f>
        <v>0</v>
      </c>
      <c r="W19" s="254" t="s">
        <v>192</v>
      </c>
      <c r="X19" s="391">
        <f>VLOOKUP(W19,SET_import!$A:$B,2,0)</f>
        <v>5</v>
      </c>
      <c r="Y19" s="436">
        <f>'Сводная МОДЕЛЬ 1x1'!$K$6</f>
        <v>0</v>
      </c>
      <c r="Z19" s="391">
        <f t="shared" si="0"/>
        <v>5</v>
      </c>
      <c r="AG19" s="391" t="s">
        <v>29</v>
      </c>
      <c r="AH19" s="391">
        <v>5</v>
      </c>
    </row>
    <row r="20" spans="1:34" x14ac:dyDescent="0.25">
      <c r="A20" s="455" t="s">
        <v>640</v>
      </c>
      <c r="B20" s="392">
        <v>545.29999999999927</v>
      </c>
      <c r="C20" s="392">
        <v>175.59999999999854</v>
      </c>
      <c r="D20" s="393">
        <v>80.516597222222217</v>
      </c>
      <c r="E20" s="392">
        <v>624.19999999999982</v>
      </c>
      <c r="F20" s="392">
        <v>179.30000000000018</v>
      </c>
      <c r="G20" s="393">
        <v>50.971793981481483</v>
      </c>
      <c r="J20"/>
      <c r="K20"/>
      <c r="L20"/>
      <c r="M20"/>
      <c r="N20"/>
      <c r="O20"/>
      <c r="P20"/>
      <c r="Q20"/>
      <c r="R20"/>
      <c r="S20"/>
      <c r="T20"/>
      <c r="W20" s="286" t="s">
        <v>194</v>
      </c>
      <c r="X20" s="391">
        <f>VLOOKUP(W20,SET_import!$A:$B,2,0)</f>
        <v>8</v>
      </c>
      <c r="Y20" s="436">
        <f>'Сводная МОДЕЛЬ 1x1'!$K$9</f>
        <v>0</v>
      </c>
      <c r="Z20" s="391">
        <f t="shared" si="0"/>
        <v>8</v>
      </c>
      <c r="AG20" s="391" t="s">
        <v>74</v>
      </c>
      <c r="AH20" s="391">
        <v>5</v>
      </c>
    </row>
    <row r="21" spans="1:34" ht="16.5" x14ac:dyDescent="0.3">
      <c r="A21"/>
      <c r="B21"/>
      <c r="C21"/>
      <c r="D21"/>
      <c r="E21"/>
      <c r="J21" s="432" t="s">
        <v>125</v>
      </c>
      <c r="K21" s="433"/>
      <c r="L21" s="431">
        <f>VLOOKUP(J21,SET_import!$A:$B,2,0)</f>
        <v>1</v>
      </c>
      <c r="M21" s="433"/>
      <c r="N21" s="433"/>
      <c r="O21" s="433"/>
      <c r="P21" s="434"/>
      <c r="Q21" s="433"/>
      <c r="R21" s="433"/>
      <c r="S21" s="433"/>
      <c r="T21" s="434"/>
      <c r="W21" s="96" t="s">
        <v>191</v>
      </c>
      <c r="X21" s="391">
        <f>VLOOKUP(W21,SET_import!$A:$B,2,0)</f>
        <v>3</v>
      </c>
      <c r="Y21" s="436">
        <f>'Сводная МОДЕЛЬ 1x1'!$K$4</f>
        <v>8</v>
      </c>
      <c r="Z21" s="391">
        <f t="shared" si="0"/>
        <v>3</v>
      </c>
      <c r="AG21" s="391" t="s">
        <v>75</v>
      </c>
      <c r="AH21" s="391">
        <v>5</v>
      </c>
    </row>
    <row r="22" spans="1:34" ht="16.5" x14ac:dyDescent="0.3">
      <c r="A22"/>
      <c r="B22"/>
      <c r="C22"/>
      <c r="D22"/>
      <c r="E22"/>
      <c r="J22" s="435"/>
      <c r="K22" s="438"/>
      <c r="L22" s="438"/>
      <c r="M22" s="438"/>
      <c r="N22" s="438"/>
      <c r="O22" s="438"/>
      <c r="P22" s="439"/>
      <c r="Q22" s="438"/>
      <c r="R22" s="438"/>
      <c r="S22" s="438"/>
      <c r="T22" s="439"/>
      <c r="W22" s="96" t="s">
        <v>198</v>
      </c>
      <c r="X22" s="391">
        <f>VLOOKUP(W22,SET_import!$A:$B,2,0)</f>
        <v>0</v>
      </c>
      <c r="Y22" s="391">
        <f>'Сводная МОДЕЛЬ 1x1'!$K$15</f>
        <v>0</v>
      </c>
      <c r="Z22" s="391">
        <f t="shared" si="0"/>
        <v>0</v>
      </c>
      <c r="AG22" s="391" t="s">
        <v>73</v>
      </c>
      <c r="AH22" s="391">
        <v>5</v>
      </c>
    </row>
    <row r="23" spans="1:34" x14ac:dyDescent="0.25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7" t="s">
        <v>187</v>
      </c>
      <c r="S23"/>
      <c r="T23" s="278">
        <f>VLOOKUP(R23,SET_import!$A:$B,2,0)</f>
        <v>0</v>
      </c>
      <c r="W23" s="286" t="s">
        <v>195</v>
      </c>
      <c r="X23" s="391">
        <f>VLOOKUP(W23,SET_import!$A:$B,2,0)</f>
        <v>0.02</v>
      </c>
      <c r="Y23" s="391">
        <f>'Сводная МОДЕЛЬ 1x1'!$K$10</f>
        <v>0</v>
      </c>
      <c r="Z23" s="391">
        <f t="shared" si="0"/>
        <v>0.02</v>
      </c>
      <c r="AG23" s="391" t="s">
        <v>72</v>
      </c>
      <c r="AH23" s="391">
        <v>3</v>
      </c>
    </row>
    <row r="24" spans="1:34" x14ac:dyDescent="0.25">
      <c r="A24"/>
      <c r="B24"/>
      <c r="C24"/>
      <c r="D24"/>
      <c r="E24"/>
      <c r="J24" s="96" t="s">
        <v>202</v>
      </c>
      <c r="K24" s="246"/>
      <c r="L24" s="144">
        <f>VLOOKUP(J24,SET_import!$A:$B,2,0)</f>
        <v>4</v>
      </c>
      <c r="M24" s="83"/>
      <c r="N24" s="96" t="s">
        <v>178</v>
      </c>
      <c r="O24" s="246"/>
      <c r="P24" s="144">
        <f>VLOOKUP(N24,SET_import!$A:$B,2,0)</f>
        <v>8</v>
      </c>
      <c r="Q24" s="84"/>
      <c r="R24" s="96" t="s">
        <v>189</v>
      </c>
      <c r="S24" s="247"/>
      <c r="T24" s="149">
        <f>VLOOKUP(R24,SET_import!$A:$B,2,0)</f>
        <v>0.01</v>
      </c>
      <c r="W24" s="96" t="s">
        <v>202</v>
      </c>
      <c r="X24" s="391">
        <f>VLOOKUP(W24,SET_import!$A:$B,2,0)</f>
        <v>4</v>
      </c>
      <c r="Y24" s="436">
        <f>'Сводная МОДЕЛЬ 1x1'!$C$2</f>
        <v>2</v>
      </c>
      <c r="Z24" s="391">
        <f t="shared" si="0"/>
        <v>4</v>
      </c>
      <c r="AG24" s="391" t="s">
        <v>378</v>
      </c>
      <c r="AH24" s="391">
        <v>5</v>
      </c>
    </row>
    <row r="25" spans="1:34" x14ac:dyDescent="0.25">
      <c r="A25"/>
      <c r="B25"/>
      <c r="C25"/>
      <c r="D25"/>
      <c r="E25"/>
      <c r="J25" s="96"/>
      <c r="K25" s="246"/>
      <c r="L25" s="326"/>
      <c r="M25" s="30"/>
      <c r="N25" s="430"/>
      <c r="O25" s="246"/>
      <c r="P25" s="325"/>
      <c r="Q25" s="31"/>
      <c r="R25" s="96" t="s">
        <v>190</v>
      </c>
      <c r="S25" s="247"/>
      <c r="T25" s="148">
        <f>VLOOKUP(R25,SET_import!$A:$B,2,0)</f>
        <v>1.5</v>
      </c>
      <c r="W25" s="254" t="s">
        <v>203</v>
      </c>
      <c r="X25" s="391">
        <f>VLOOKUP(W25,SET_import!$A:$B,2,0)</f>
        <v>4</v>
      </c>
      <c r="Y25" s="436">
        <f>'Сводная МОДЕЛЬ 1x1'!$C$6</f>
        <v>5</v>
      </c>
      <c r="Z25" s="391">
        <f t="shared" si="0"/>
        <v>4</v>
      </c>
      <c r="AG25" s="391" t="s">
        <v>379</v>
      </c>
      <c r="AH25" s="391">
        <v>5</v>
      </c>
    </row>
    <row r="26" spans="1:34" x14ac:dyDescent="0.25">
      <c r="A26"/>
      <c r="B26"/>
      <c r="C26"/>
      <c r="D26"/>
      <c r="E26"/>
      <c r="J26" s="96"/>
      <c r="K26" s="246"/>
      <c r="L26" s="326"/>
      <c r="M26" s="30"/>
      <c r="N26" s="430"/>
      <c r="O26" s="246"/>
      <c r="P26" s="326"/>
      <c r="Q26" s="31"/>
      <c r="R26" s="96" t="s">
        <v>191</v>
      </c>
      <c r="S26" s="247"/>
      <c r="T26" s="144">
        <f>VLOOKUP(R26,SET_import!$A:$B,2,0)</f>
        <v>3</v>
      </c>
      <c r="W26" s="286" t="s">
        <v>205</v>
      </c>
      <c r="X26" s="391">
        <f>VLOOKUP(W26,SET_import!$A:$B,2,0)</f>
        <v>12</v>
      </c>
      <c r="Y26" s="436">
        <f>'Сводная МОДЕЛЬ 1x1'!$C$9</f>
        <v>0</v>
      </c>
      <c r="Z26" s="391">
        <f t="shared" si="0"/>
        <v>12</v>
      </c>
      <c r="AG26" s="391" t="s">
        <v>380</v>
      </c>
      <c r="AH26" s="391">
        <v>5</v>
      </c>
    </row>
    <row r="27" spans="1:34" x14ac:dyDescent="0.25">
      <c r="A27"/>
      <c r="B27"/>
      <c r="C27"/>
      <c r="D27"/>
      <c r="E27"/>
      <c r="J27" s="97"/>
      <c r="K27" s="246"/>
      <c r="L27" s="375"/>
      <c r="M27" s="36"/>
      <c r="N27" s="430"/>
      <c r="O27" s="246"/>
      <c r="P27" s="327"/>
      <c r="Q27" s="37"/>
      <c r="R27" s="97"/>
      <c r="S27" s="247"/>
      <c r="T27" s="3"/>
      <c r="W27" s="286" t="s">
        <v>206</v>
      </c>
      <c r="X27" s="391">
        <f>VLOOKUP(W27,SET_import!$A:$B,2,0)</f>
        <v>-1</v>
      </c>
      <c r="Y27" s="391">
        <f>'Сводная МОДЕЛЬ 1x1'!$C$10</f>
        <v>0</v>
      </c>
      <c r="Z27" s="391">
        <f t="shared" si="0"/>
        <v>-1</v>
      </c>
      <c r="AG27" s="391" t="s">
        <v>59</v>
      </c>
      <c r="AH27" s="391">
        <v>5</v>
      </c>
    </row>
    <row r="28" spans="1:34" x14ac:dyDescent="0.25">
      <c r="A28"/>
      <c r="B28"/>
      <c r="C28"/>
      <c r="D28"/>
      <c r="E28"/>
      <c r="J28" s="254" t="s">
        <v>203</v>
      </c>
      <c r="K28" s="246"/>
      <c r="L28" s="146">
        <f>VLOOKUP(J28,SET_import!$A:$B,2,0)</f>
        <v>4</v>
      </c>
      <c r="M28" s="40"/>
      <c r="N28" s="254" t="s">
        <v>179</v>
      </c>
      <c r="O28" s="246"/>
      <c r="P28" s="146">
        <f>VLOOKUP(N28,SET_import!$A:$B,2,0)</f>
        <v>3</v>
      </c>
      <c r="Q28" s="41"/>
      <c r="R28" s="254" t="s">
        <v>192</v>
      </c>
      <c r="S28" s="247"/>
      <c r="T28" s="147">
        <f>VLOOKUP(R28,SET_import!$A:$B,2,0)</f>
        <v>5</v>
      </c>
      <c r="W28" s="254" t="s">
        <v>204</v>
      </c>
      <c r="X28" s="391">
        <f>VLOOKUP(W28,SET_import!$A:$B,2,0)</f>
        <v>1</v>
      </c>
      <c r="Y28" s="391">
        <f>'Сводная МОДЕЛЬ 1x1'!$C$7</f>
        <v>0</v>
      </c>
      <c r="Z28" s="391">
        <f t="shared" si="0"/>
        <v>1</v>
      </c>
      <c r="AG28" s="391" t="s">
        <v>381</v>
      </c>
      <c r="AH28" s="391">
        <v>5</v>
      </c>
    </row>
    <row r="29" spans="1:34" x14ac:dyDescent="0.25">
      <c r="A29"/>
      <c r="B29"/>
      <c r="C29"/>
      <c r="D29"/>
      <c r="E29"/>
      <c r="J29" s="254" t="s">
        <v>204</v>
      </c>
      <c r="K29" s="246"/>
      <c r="L29" s="145">
        <f>VLOOKUP(J29,SET_import!$A:$B,2,0)</f>
        <v>1</v>
      </c>
      <c r="M29" s="93"/>
      <c r="N29" s="254" t="s">
        <v>180</v>
      </c>
      <c r="O29" s="314"/>
      <c r="P29" s="145">
        <f>VLOOKUP(N29,SET_import!$A:$B,2,0)</f>
        <v>1</v>
      </c>
      <c r="Q29" s="94"/>
      <c r="R29" s="254" t="s">
        <v>193</v>
      </c>
      <c r="S29" s="247"/>
      <c r="T29" s="143">
        <f>VLOOKUP(R29,SET_import!$A:$B,2,0)</f>
        <v>0.01</v>
      </c>
      <c r="W29" s="279" t="s">
        <v>207</v>
      </c>
      <c r="X29" s="391">
        <f>VLOOKUP(W29,SET_import!$A:$B,2,0)</f>
        <v>0</v>
      </c>
      <c r="Y29" s="436">
        <f>'Сводная МОДЕЛЬ 1x1'!$C$12</f>
        <v>0</v>
      </c>
      <c r="Z29" s="391">
        <f t="shared" si="0"/>
        <v>0</v>
      </c>
      <c r="AG29" s="391" t="s">
        <v>382</v>
      </c>
      <c r="AH29" s="391">
        <v>5</v>
      </c>
    </row>
    <row r="30" spans="1:34" x14ac:dyDescent="0.25">
      <c r="A30"/>
      <c r="B30"/>
      <c r="C30"/>
      <c r="D30"/>
      <c r="E30"/>
      <c r="J30" s="254"/>
      <c r="K30" s="245"/>
      <c r="L30" s="376"/>
      <c r="M30" s="40"/>
      <c r="N30" s="430"/>
      <c r="O30" s="245"/>
      <c r="P30" s="377"/>
      <c r="Q30" s="41"/>
      <c r="R30" s="254"/>
      <c r="S30" s="250"/>
      <c r="T30" s="377"/>
      <c r="W30" s="279" t="s">
        <v>208</v>
      </c>
      <c r="X30" s="391">
        <f>VLOOKUP(W30,SET_import!$A:$B,2,0)</f>
        <v>0</v>
      </c>
      <c r="Y30" s="391">
        <f>'Сводная МОДЕЛЬ 1x1'!$C$13</f>
        <v>0</v>
      </c>
      <c r="Z30" s="391">
        <f t="shared" si="0"/>
        <v>0</v>
      </c>
      <c r="AG30" s="391" t="s">
        <v>383</v>
      </c>
      <c r="AH30" s="391">
        <v>3</v>
      </c>
    </row>
    <row r="31" spans="1:34" x14ac:dyDescent="0.25">
      <c r="A31"/>
      <c r="B31"/>
      <c r="C31"/>
      <c r="D31"/>
      <c r="E31"/>
      <c r="J31" s="286" t="s">
        <v>205</v>
      </c>
      <c r="K31" s="246"/>
      <c r="L31" s="287">
        <f>VLOOKUP(J31,SET_import!$A:$B,2,0)</f>
        <v>12</v>
      </c>
      <c r="M31" s="289"/>
      <c r="N31" s="286" t="s">
        <v>181</v>
      </c>
      <c r="O31" s="314"/>
      <c r="P31" s="287">
        <f>VLOOKUP(N31,SET_import!$A:$B,2,0)</f>
        <v>10</v>
      </c>
      <c r="Q31" s="291"/>
      <c r="R31" s="286" t="s">
        <v>194</v>
      </c>
      <c r="S31" s="247"/>
      <c r="T31" s="292">
        <f>VLOOKUP(R31,SET_import!$A:$B,2,0)</f>
        <v>8</v>
      </c>
      <c r="W31" s="277" t="s">
        <v>187</v>
      </c>
      <c r="X31" s="391">
        <f>VLOOKUP(W31,SET_import!$A:$B,2,0)</f>
        <v>0</v>
      </c>
      <c r="Y31" s="391">
        <f>'Сводная МОДЕЛЬ 1x1'!$K$1</f>
        <v>0</v>
      </c>
      <c r="Z31" s="391">
        <f t="shared" ref="Z31" si="1">IF(AA31="",X31,AA31)</f>
        <v>0</v>
      </c>
      <c r="AG31" s="391" t="s">
        <v>61</v>
      </c>
      <c r="AH31" s="391">
        <v>5</v>
      </c>
    </row>
    <row r="32" spans="1:34" ht="16.5" x14ac:dyDescent="0.3">
      <c r="A32"/>
      <c r="B32"/>
      <c r="C32"/>
      <c r="D32"/>
      <c r="E32"/>
      <c r="J32" s="286" t="s">
        <v>206</v>
      </c>
      <c r="K32" s="246"/>
      <c r="L32" s="288">
        <f>VLOOKUP(J32,SET_import!$A:$B,2,0)</f>
        <v>-1</v>
      </c>
      <c r="M32" s="295"/>
      <c r="N32" s="286" t="s">
        <v>182</v>
      </c>
      <c r="O32" s="314"/>
      <c r="P32" s="288">
        <f>VLOOKUP(N32,SET_import!$A:$B,2,0)</f>
        <v>7</v>
      </c>
      <c r="Q32" s="296"/>
      <c r="R32" s="286" t="s">
        <v>195</v>
      </c>
      <c r="S32" s="247"/>
      <c r="T32" s="297">
        <f>VLOOKUP(R32,SET_import!$A:$B,2,0)</f>
        <v>0.02</v>
      </c>
      <c r="W32" s="435" t="s">
        <v>125</v>
      </c>
      <c r="X32" s="391">
        <f>VLOOKUP(W32,SET_import!$A:$B,2,0)</f>
        <v>1</v>
      </c>
      <c r="Y32" s="391">
        <f>X32</f>
        <v>1</v>
      </c>
      <c r="Z32" s="391">
        <f t="shared" si="0"/>
        <v>1</v>
      </c>
      <c r="AG32" s="391" t="s">
        <v>65</v>
      </c>
      <c r="AH32" s="391">
        <v>5</v>
      </c>
    </row>
    <row r="33" spans="1:34" x14ac:dyDescent="0.25">
      <c r="A33"/>
      <c r="B33"/>
      <c r="C33"/>
      <c r="D33"/>
      <c r="E33"/>
      <c r="J33" s="286"/>
      <c r="K33" s="246"/>
      <c r="L33" s="378"/>
      <c r="M33" s="295"/>
      <c r="N33" s="286"/>
      <c r="O33" s="314"/>
      <c r="P33" s="378"/>
      <c r="Q33" s="296"/>
      <c r="R33" s="286"/>
      <c r="S33" s="247"/>
      <c r="T33" s="379"/>
      <c r="W33" s="279" t="s">
        <v>151</v>
      </c>
      <c r="X33" s="391">
        <f>VLOOKUP(W33,SET_import!$A:$B,2,0)</f>
        <v>0</v>
      </c>
      <c r="Y33" s="391">
        <f>'Сводная МОДЕЛЬ 1x1'!$G$12</f>
        <v>0</v>
      </c>
      <c r="Z33" s="391">
        <f t="shared" si="0"/>
        <v>0</v>
      </c>
      <c r="AG33" s="391" t="s">
        <v>63</v>
      </c>
      <c r="AH33" s="391">
        <v>5</v>
      </c>
    </row>
    <row r="34" spans="1:34" x14ac:dyDescent="0.25">
      <c r="A34"/>
      <c r="B34"/>
      <c r="C34"/>
      <c r="D34"/>
      <c r="E34"/>
      <c r="J34" s="279" t="s">
        <v>207</v>
      </c>
      <c r="K34" s="246"/>
      <c r="L34" s="280">
        <f>VLOOKUP(J34,SET_import!$A:$B,2,0)</f>
        <v>0</v>
      </c>
      <c r="M34" s="295"/>
      <c r="N34" s="279" t="s">
        <v>183</v>
      </c>
      <c r="O34" s="247"/>
      <c r="P34" s="315">
        <f>VLOOKUP(N34,SET_import!$A:$B,2,0)</f>
        <v>0</v>
      </c>
      <c r="Q34" s="243"/>
      <c r="R34" s="279" t="s">
        <v>196</v>
      </c>
      <c r="S34" s="247"/>
      <c r="T34" s="318">
        <f>VLOOKUP(R34,SET_import!$A:$B,2,0)</f>
        <v>11</v>
      </c>
      <c r="W34" s="279" t="s">
        <v>152</v>
      </c>
      <c r="X34" s="391">
        <f>VLOOKUP(W34,SET_import!$A:$B,2,0)</f>
        <v>0</v>
      </c>
      <c r="Y34" s="391">
        <f>'Сводная МОДЕЛЬ 1x1'!$G$13</f>
        <v>0</v>
      </c>
      <c r="Z34" s="391">
        <f t="shared" si="0"/>
        <v>0</v>
      </c>
      <c r="AG34" s="391" t="s">
        <v>64</v>
      </c>
      <c r="AH34" s="391">
        <v>3</v>
      </c>
    </row>
    <row r="35" spans="1:34" x14ac:dyDescent="0.25">
      <c r="A35"/>
      <c r="B35"/>
      <c r="C35"/>
      <c r="D35"/>
      <c r="E35"/>
      <c r="J35" s="279" t="s">
        <v>208</v>
      </c>
      <c r="K35" s="246"/>
      <c r="L35" s="240">
        <f>VLOOKUP(J35,SET_import!$A:$B,2,0)</f>
        <v>0</v>
      </c>
      <c r="M35" s="295"/>
      <c r="N35" s="279" t="s">
        <v>184</v>
      </c>
      <c r="O35" s="247"/>
      <c r="P35" s="240">
        <f>VLOOKUP(N35,SET_import!$A:$B,2,0)</f>
        <v>0</v>
      </c>
      <c r="Q35" s="243"/>
      <c r="R35" s="279" t="s">
        <v>197</v>
      </c>
      <c r="S35" s="247"/>
      <c r="T35" s="316">
        <f>VLOOKUP(R35,SET_import!$A:$B,2,0)</f>
        <v>0.03</v>
      </c>
      <c r="W35" s="254" t="s">
        <v>147</v>
      </c>
      <c r="X35" s="391">
        <f>VLOOKUP(W35,SET_import!$A:$B,2,0)</f>
        <v>0</v>
      </c>
      <c r="Y35" s="436">
        <f>'Сводная МОДЕЛЬ 1x1'!$G$6</f>
        <v>0</v>
      </c>
      <c r="Z35" s="391">
        <f t="shared" si="0"/>
        <v>0</v>
      </c>
      <c r="AA35" s="436"/>
      <c r="AG35" s="391" t="s">
        <v>384</v>
      </c>
      <c r="AH35" s="391">
        <v>5</v>
      </c>
    </row>
    <row r="36" spans="1:34" x14ac:dyDescent="0.25">
      <c r="A36"/>
      <c r="B36"/>
      <c r="C36"/>
      <c r="D36"/>
      <c r="E36"/>
      <c r="J36" s="139"/>
      <c r="K36" s="246"/>
      <c r="L36" s="381"/>
      <c r="M36" s="141"/>
      <c r="N36" s="139"/>
      <c r="O36" s="246"/>
      <c r="P36" s="381"/>
      <c r="Q36" s="142"/>
      <c r="R36" s="139"/>
      <c r="S36" s="247"/>
      <c r="T36" s="382"/>
      <c r="W36" s="96" t="s">
        <v>146</v>
      </c>
      <c r="X36" s="391">
        <f>VLOOKUP(W36,SET_import!$A:$B,2,0)</f>
        <v>20</v>
      </c>
      <c r="Y36" s="436">
        <f>'Сводная МОДЕЛЬ 1x1'!$G$2</f>
        <v>20</v>
      </c>
      <c r="Z36" s="391">
        <f t="shared" si="0"/>
        <v>20</v>
      </c>
      <c r="AA36" s="436"/>
      <c r="AG36" s="391" t="s">
        <v>385</v>
      </c>
      <c r="AH36" s="391">
        <v>5</v>
      </c>
    </row>
    <row r="37" spans="1:34" x14ac:dyDescent="0.25">
      <c r="A37"/>
      <c r="B37"/>
      <c r="C37"/>
      <c r="D37"/>
      <c r="E37"/>
      <c r="J37"/>
      <c r="K37"/>
      <c r="L37"/>
      <c r="M37" s="241"/>
      <c r="N37" s="96" t="s">
        <v>185</v>
      </c>
      <c r="O37" s="246"/>
      <c r="P37" s="240">
        <f>VLOOKUP(N37,SET_import!$A:$B,2,0)</f>
        <v>0</v>
      </c>
      <c r="Q37" s="243"/>
      <c r="R37" s="96" t="s">
        <v>198</v>
      </c>
      <c r="S37" s="247"/>
      <c r="T37" s="261">
        <f>VLOOKUP(R37,SET_import!$A:$B,2,0)</f>
        <v>0</v>
      </c>
      <c r="W37" s="254" t="s">
        <v>148</v>
      </c>
      <c r="X37" s="391">
        <f>VLOOKUP(W37,SET_import!$A:$B,2,0)</f>
        <v>0</v>
      </c>
      <c r="Y37" s="391">
        <f>'Сводная МОДЕЛЬ 1x1'!$G$7</f>
        <v>0</v>
      </c>
      <c r="Z37" s="391">
        <f t="shared" si="0"/>
        <v>0</v>
      </c>
      <c r="AG37" s="391" t="s">
        <v>386</v>
      </c>
      <c r="AH37" s="391">
        <v>3</v>
      </c>
    </row>
    <row r="38" spans="1:34" x14ac:dyDescent="0.25">
      <c r="A38"/>
      <c r="B38"/>
      <c r="C38"/>
      <c r="D38"/>
      <c r="E38"/>
      <c r="J38" s="429" t="s">
        <v>114</v>
      </c>
      <c r="K38"/>
      <c r="L38" s="431">
        <f>VLOOKUP(J38,SET_import!$A:$B,2,0)</f>
        <v>15</v>
      </c>
      <c r="M38" s="241"/>
      <c r="N38" s="96"/>
      <c r="O38" s="242"/>
      <c r="P38" s="383"/>
      <c r="Q38" s="243"/>
      <c r="R38" s="98" t="s">
        <v>199</v>
      </c>
      <c r="S38" s="247"/>
      <c r="T38" s="260">
        <f>VLOOKUP(R38,SET_import!$A:$B,2,0)</f>
        <v>0</v>
      </c>
      <c r="W38" s="286" t="s">
        <v>149</v>
      </c>
      <c r="X38" s="391">
        <f>VLOOKUP(W38,SET_import!$A:$B,2,0)</f>
        <v>0</v>
      </c>
      <c r="Y38" s="436">
        <f>'Сводная МОДЕЛЬ 1x1'!$G$9</f>
        <v>0</v>
      </c>
      <c r="Z38" s="391">
        <f t="shared" si="0"/>
        <v>0</v>
      </c>
      <c r="AA38" s="436"/>
      <c r="AG38" s="391" t="s">
        <v>387</v>
      </c>
      <c r="AH38" s="391">
        <v>3</v>
      </c>
    </row>
    <row r="39" spans="1:34" x14ac:dyDescent="0.25">
      <c r="A39"/>
      <c r="B39"/>
      <c r="C39"/>
      <c r="D39"/>
      <c r="E39"/>
      <c r="W39" s="286" t="s">
        <v>150</v>
      </c>
      <c r="X39" s="391">
        <f>VLOOKUP(W39,SET_import!$A:$B,2,0)</f>
        <v>0</v>
      </c>
      <c r="Y39" s="391">
        <f>'Сводная МОДЕЛЬ 1x1'!$G$10</f>
        <v>0</v>
      </c>
      <c r="Z39" s="391">
        <f t="shared" si="0"/>
        <v>0</v>
      </c>
    </row>
    <row r="40" spans="1:34" x14ac:dyDescent="0.25">
      <c r="A40"/>
      <c r="B40"/>
      <c r="C40"/>
      <c r="D40"/>
      <c r="E40"/>
      <c r="W40" s="96" t="s">
        <v>153</v>
      </c>
      <c r="X40" s="391">
        <f>VLOOKUP(W40,SET_import!$A:$B,2,0)</f>
        <v>0</v>
      </c>
      <c r="Y40" s="391">
        <f>'Сводная МОДЕЛЬ 1x1'!$G$15</f>
        <v>0</v>
      </c>
      <c r="Z40" s="391">
        <f t="shared" si="0"/>
        <v>0</v>
      </c>
    </row>
    <row r="41" spans="1:34" x14ac:dyDescent="0.25">
      <c r="A41"/>
      <c r="B41"/>
      <c r="C41"/>
      <c r="D41"/>
      <c r="E41"/>
      <c r="W41" s="98" t="s">
        <v>167</v>
      </c>
      <c r="X41" s="391">
        <f>VLOOKUP(W41,SET_import!$A:$B,2,0)</f>
        <v>0</v>
      </c>
      <c r="Y41" s="391">
        <f>'Сводная МОДЕЛЬ 1x1'!$K$16</f>
        <v>0</v>
      </c>
      <c r="Z41" s="391">
        <f t="shared" si="0"/>
        <v>0</v>
      </c>
    </row>
    <row r="42" spans="1:34" x14ac:dyDescent="0.25">
      <c r="A42"/>
      <c r="B42"/>
      <c r="C42"/>
      <c r="D42"/>
      <c r="E42"/>
      <c r="W42" s="429" t="s">
        <v>113</v>
      </c>
      <c r="X42" s="391">
        <f>VLOOKUP(W42,SET_import!$A:$B,2,0)</f>
        <v>15</v>
      </c>
      <c r="Y42" s="391">
        <f>'Сводная МОДЕЛЬ 1x1'!$C$16</f>
        <v>15</v>
      </c>
      <c r="Z42" s="391">
        <f t="shared" si="0"/>
        <v>15</v>
      </c>
    </row>
    <row r="43" spans="1:34" x14ac:dyDescent="0.25">
      <c r="A43"/>
      <c r="B43"/>
      <c r="C43"/>
      <c r="D43"/>
      <c r="E43"/>
      <c r="W43" s="96" t="s">
        <v>157</v>
      </c>
      <c r="X43" s="391">
        <f>VLOOKUP(W43,SET_import!$A:$B,2,0)</f>
        <v>0.01</v>
      </c>
      <c r="Y43" s="437">
        <f>'Сводная МОДЕЛЬ 1x1'!$K$2</f>
        <v>0.01</v>
      </c>
      <c r="Z43" s="391">
        <f t="shared" si="0"/>
        <v>0.01</v>
      </c>
      <c r="AA43" s="437"/>
    </row>
    <row r="44" spans="1:34" x14ac:dyDescent="0.25">
      <c r="A44"/>
      <c r="B44"/>
      <c r="C44"/>
      <c r="D44"/>
      <c r="E44"/>
      <c r="W44" s="96" t="s">
        <v>158</v>
      </c>
      <c r="X44" s="391">
        <f>VLOOKUP(W44,SET_import!$A:$B,2,0)</f>
        <v>5</v>
      </c>
      <c r="Y44" s="391">
        <f>'Сводная МОДЕЛЬ 1x1'!$K$3</f>
        <v>5</v>
      </c>
      <c r="Z44" s="391">
        <f t="shared" si="0"/>
        <v>5</v>
      </c>
    </row>
    <row r="45" spans="1:34" x14ac:dyDescent="0.25">
      <c r="A45"/>
      <c r="B45"/>
      <c r="C45"/>
      <c r="D45"/>
      <c r="E45"/>
      <c r="W45" s="279" t="s">
        <v>164</v>
      </c>
      <c r="X45" s="391">
        <f>VLOOKUP(W45,SET_import!$A:$B,2,0)</f>
        <v>0</v>
      </c>
      <c r="Y45" s="436">
        <f>'Сводная МОДЕЛЬ 1x1'!$K$12</f>
        <v>0</v>
      </c>
      <c r="Z45" s="391">
        <f t="shared" si="0"/>
        <v>0</v>
      </c>
      <c r="AA45" s="436"/>
    </row>
    <row r="46" spans="1:34" x14ac:dyDescent="0.25">
      <c r="A46"/>
      <c r="B46"/>
      <c r="C46"/>
      <c r="D46"/>
      <c r="E46"/>
      <c r="W46" s="279" t="s">
        <v>165</v>
      </c>
      <c r="X46" s="391">
        <f>VLOOKUP(W46,SET_import!$A:$B,2,0)</f>
        <v>0</v>
      </c>
      <c r="Y46" s="391">
        <f>'Сводная МОДЕЛЬ 1x1'!$K$13</f>
        <v>0</v>
      </c>
      <c r="Z46" s="391">
        <f t="shared" si="0"/>
        <v>0</v>
      </c>
    </row>
    <row r="47" spans="1:34" x14ac:dyDescent="0.25">
      <c r="A47"/>
      <c r="B47"/>
      <c r="C47"/>
      <c r="D47"/>
      <c r="E47"/>
      <c r="W47" s="254" t="s">
        <v>161</v>
      </c>
      <c r="X47" s="391">
        <f>VLOOKUP(W47,SET_import!$A:$B,2,0)</f>
        <v>0</v>
      </c>
      <c r="Y47" s="391">
        <f>'Сводная МОДЕЛЬ 1x1'!$K$7</f>
        <v>0</v>
      </c>
      <c r="Z47" s="391">
        <f t="shared" si="0"/>
        <v>0</v>
      </c>
    </row>
    <row r="48" spans="1:34" x14ac:dyDescent="0.25">
      <c r="A48"/>
      <c r="B48"/>
      <c r="C48"/>
      <c r="D48"/>
      <c r="E48"/>
      <c r="W48" s="254" t="s">
        <v>160</v>
      </c>
      <c r="X48" s="391">
        <f>VLOOKUP(W48,SET_import!$A:$B,2,0)</f>
        <v>0</v>
      </c>
      <c r="Y48" s="436">
        <f>'Сводная МОДЕЛЬ 1x1'!$K$6</f>
        <v>0</v>
      </c>
      <c r="Z48" s="391">
        <f t="shared" si="0"/>
        <v>0</v>
      </c>
      <c r="AA48" s="436"/>
    </row>
    <row r="49" spans="1:27" x14ac:dyDescent="0.25">
      <c r="A49"/>
      <c r="B49"/>
      <c r="C49"/>
      <c r="D49"/>
      <c r="E49"/>
      <c r="W49" s="286" t="s">
        <v>162</v>
      </c>
      <c r="X49" s="391">
        <f>VLOOKUP(W49,SET_import!$A:$B,2,0)</f>
        <v>0</v>
      </c>
      <c r="Y49" s="436">
        <f>'Сводная МОДЕЛЬ 1x1'!$K$9</f>
        <v>0</v>
      </c>
      <c r="Z49" s="391">
        <f t="shared" si="0"/>
        <v>0</v>
      </c>
      <c r="AA49" s="436"/>
    </row>
    <row r="50" spans="1:27" x14ac:dyDescent="0.25">
      <c r="A50"/>
      <c r="B50"/>
      <c r="C50"/>
      <c r="D50"/>
      <c r="E50"/>
      <c r="W50" s="96" t="s">
        <v>159</v>
      </c>
      <c r="X50" s="391">
        <f>VLOOKUP(W50,SET_import!$A:$B,2,0)</f>
        <v>8</v>
      </c>
      <c r="Y50" s="436">
        <f>'Сводная МОДЕЛЬ 1x1'!$K$4</f>
        <v>8</v>
      </c>
      <c r="Z50" s="391">
        <f t="shared" si="0"/>
        <v>8</v>
      </c>
      <c r="AA50" s="436"/>
    </row>
    <row r="51" spans="1:27" x14ac:dyDescent="0.25">
      <c r="A51"/>
      <c r="B51"/>
      <c r="C51"/>
      <c r="D51"/>
      <c r="E51"/>
      <c r="W51" s="96" t="s">
        <v>166</v>
      </c>
      <c r="X51" s="391">
        <f>VLOOKUP(W51,SET_import!$A:$B,2,0)</f>
        <v>0</v>
      </c>
      <c r="Y51" s="391">
        <f>'Сводная МОДЕЛЬ 1x1'!$K$15</f>
        <v>0</v>
      </c>
      <c r="Z51" s="391">
        <f t="shared" si="0"/>
        <v>0</v>
      </c>
    </row>
    <row r="52" spans="1:27" x14ac:dyDescent="0.25">
      <c r="A52"/>
      <c r="B52"/>
      <c r="C52"/>
      <c r="D52"/>
      <c r="E52"/>
      <c r="W52" s="286" t="s">
        <v>163</v>
      </c>
      <c r="X52" s="391">
        <f>VLOOKUP(W52,SET_import!$A:$B,2,0)</f>
        <v>0</v>
      </c>
      <c r="Y52" s="391">
        <f>'Сводная МОДЕЛЬ 1x1'!$K$10</f>
        <v>0</v>
      </c>
      <c r="Z52" s="391">
        <f t="shared" si="0"/>
        <v>0</v>
      </c>
    </row>
    <row r="53" spans="1:27" x14ac:dyDescent="0.25">
      <c r="A53"/>
      <c r="B53"/>
      <c r="C53"/>
      <c r="D53"/>
      <c r="E53"/>
      <c r="W53" s="96" t="s">
        <v>170</v>
      </c>
      <c r="X53" s="391">
        <f>VLOOKUP(W53,SET_import!$A:$B,2,0)</f>
        <v>2</v>
      </c>
      <c r="Y53" s="436">
        <f>'Сводная МОДЕЛЬ 1x1'!$C$2</f>
        <v>2</v>
      </c>
      <c r="Z53" s="391">
        <f t="shared" si="0"/>
        <v>2</v>
      </c>
      <c r="AA53" s="436"/>
    </row>
    <row r="54" spans="1:27" x14ac:dyDescent="0.25">
      <c r="A54"/>
      <c r="B54"/>
      <c r="C54"/>
      <c r="D54"/>
      <c r="E54"/>
      <c r="W54" s="254" t="s">
        <v>171</v>
      </c>
      <c r="X54" s="391">
        <f>VLOOKUP(W54,SET_import!$A:$B,2,0)</f>
        <v>5</v>
      </c>
      <c r="Y54" s="436">
        <f>'Сводная МОДЕЛЬ 1x1'!$C$6</f>
        <v>5</v>
      </c>
      <c r="Z54" s="391">
        <f t="shared" si="0"/>
        <v>5</v>
      </c>
      <c r="AA54" s="436"/>
    </row>
    <row r="55" spans="1:27" x14ac:dyDescent="0.25">
      <c r="A55"/>
      <c r="B55"/>
      <c r="C55"/>
      <c r="D55"/>
      <c r="E55"/>
      <c r="W55" s="286" t="s">
        <v>173</v>
      </c>
      <c r="X55" s="391">
        <f>VLOOKUP(W55,SET_import!$A:$B,2,0)</f>
        <v>0</v>
      </c>
      <c r="Y55" s="436">
        <f>'Сводная МОДЕЛЬ 1x1'!$C$9</f>
        <v>0</v>
      </c>
      <c r="Z55" s="391">
        <f t="shared" si="0"/>
        <v>0</v>
      </c>
      <c r="AA55" s="436"/>
    </row>
    <row r="56" spans="1:27" x14ac:dyDescent="0.25">
      <c r="A56"/>
      <c r="B56"/>
      <c r="C56"/>
      <c r="D56"/>
      <c r="E56"/>
      <c r="W56" s="286" t="s">
        <v>174</v>
      </c>
      <c r="X56" s="391">
        <f>VLOOKUP(W56,SET_import!$A:$B,2,0)</f>
        <v>0</v>
      </c>
      <c r="Y56" s="391">
        <f>'Сводная МОДЕЛЬ 1x1'!$C$10</f>
        <v>0</v>
      </c>
      <c r="Z56" s="391">
        <f t="shared" si="0"/>
        <v>0</v>
      </c>
    </row>
    <row r="57" spans="1:27" x14ac:dyDescent="0.25">
      <c r="A57"/>
      <c r="B57"/>
      <c r="C57"/>
      <c r="D57"/>
      <c r="E57"/>
      <c r="W57" s="254" t="s">
        <v>172</v>
      </c>
      <c r="X57" s="391">
        <f>VLOOKUP(W57,SET_import!$A:$B,2,0)</f>
        <v>0</v>
      </c>
      <c r="Y57" s="391">
        <f>'Сводная МОДЕЛЬ 1x1'!$C$7</f>
        <v>0</v>
      </c>
      <c r="Z57" s="391">
        <f t="shared" si="0"/>
        <v>0</v>
      </c>
    </row>
    <row r="58" spans="1:27" x14ac:dyDescent="0.25">
      <c r="A58"/>
      <c r="B58"/>
      <c r="C58"/>
      <c r="D58"/>
      <c r="E58"/>
      <c r="W58" s="279" t="s">
        <v>175</v>
      </c>
      <c r="X58" s="391">
        <f>VLOOKUP(W58,SET_import!$A:$B,2,0)</f>
        <v>0</v>
      </c>
      <c r="Y58" s="436">
        <f>'Сводная МОДЕЛЬ 1x1'!$C$12</f>
        <v>0</v>
      </c>
      <c r="Z58" s="391">
        <f t="shared" si="0"/>
        <v>0</v>
      </c>
      <c r="AA58" s="436"/>
    </row>
    <row r="59" spans="1:27" x14ac:dyDescent="0.25">
      <c r="A59"/>
      <c r="B59"/>
      <c r="C59"/>
      <c r="D59"/>
      <c r="E59"/>
      <c r="W59" s="279" t="s">
        <v>176</v>
      </c>
      <c r="X59" s="391">
        <f>VLOOKUP(W59,SET_import!$A:$B,2,0)</f>
        <v>0</v>
      </c>
      <c r="Y59" s="391">
        <f>'Сводная МОДЕЛЬ 1x1'!$C$13</f>
        <v>0</v>
      </c>
      <c r="Z59" s="391">
        <f t="shared" si="0"/>
        <v>0</v>
      </c>
    </row>
    <row r="60" spans="1:27" x14ac:dyDescent="0.25">
      <c r="A60"/>
      <c r="B60"/>
      <c r="C60"/>
      <c r="D60"/>
      <c r="E60"/>
      <c r="W60" s="277" t="s">
        <v>155</v>
      </c>
      <c r="X60" s="391">
        <f>VLOOKUP(W60,SET_import!$A:$B,2,0)</f>
        <v>0</v>
      </c>
      <c r="Y60" s="391">
        <f>'Сводная МОДЕЛЬ 1x1'!$K$1</f>
        <v>0</v>
      </c>
      <c r="Z60" s="391">
        <f t="shared" ref="Z60" si="2">IF(AA60="",X60,AA60)</f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O1"/>
  <sheetViews>
    <sheetView zoomScale="85" zoomScaleNormal="85" workbookViewId="0">
      <selection activeCell="E40" sqref="E40"/>
    </sheetView>
  </sheetViews>
  <sheetFormatPr defaultRowHeight="12.75" x14ac:dyDescent="0.2"/>
  <cols>
    <col min="6" max="6" width="13.28515625" style="446" bestFit="1" customWidth="1"/>
    <col min="8" max="8" width="13.28515625" style="446" bestFit="1" customWidth="1"/>
    <col min="10" max="10" width="13.28515625" style="446" bestFit="1" customWidth="1"/>
    <col min="15" max="15" width="8.85546875" style="393"/>
  </cols>
  <sheetData>
    <row r="1" spans="1:15" s="447" customFormat="1" ht="38.25" x14ac:dyDescent="0.2">
      <c r="A1" s="444" t="s">
        <v>623</v>
      </c>
      <c r="B1" s="444" t="s">
        <v>622</v>
      </c>
      <c r="C1" s="444" t="s">
        <v>624</v>
      </c>
      <c r="D1" s="444" t="s">
        <v>625</v>
      </c>
      <c r="E1" s="444" t="s">
        <v>626</v>
      </c>
      <c r="F1" s="449" t="s">
        <v>627</v>
      </c>
      <c r="G1" s="444" t="s">
        <v>628</v>
      </c>
      <c r="H1" s="449" t="s">
        <v>635</v>
      </c>
      <c r="I1" s="444" t="s">
        <v>636</v>
      </c>
      <c r="J1" s="449" t="s">
        <v>629</v>
      </c>
      <c r="K1" s="444" t="s">
        <v>630</v>
      </c>
      <c r="L1" s="444" t="s">
        <v>631</v>
      </c>
      <c r="M1" s="444" t="s">
        <v>634</v>
      </c>
      <c r="N1" s="444" t="s">
        <v>89</v>
      </c>
      <c r="O1" s="450" t="s">
        <v>96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0"/>
  <sheetViews>
    <sheetView tabSelected="1" zoomScale="70" zoomScaleNormal="7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AP12" sqref="AP12"/>
    </sheetView>
  </sheetViews>
  <sheetFormatPr defaultRowHeight="12.75" x14ac:dyDescent="0.2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6" bestFit="1" customWidth="1"/>
    <col min="37" max="37" width="6.140625" style="416" bestFit="1" customWidth="1"/>
    <col min="38" max="38" width="8.140625" style="416" bestFit="1" customWidth="1"/>
    <col min="39" max="39" width="6.85546875" style="416" customWidth="1"/>
    <col min="40" max="40" width="7.42578125" style="416" customWidth="1"/>
    <col min="41" max="41" width="8.85546875" style="416" customWidth="1"/>
    <col min="42" max="42" width="13.140625" style="416" customWidth="1"/>
    <col min="43" max="43" width="13.28515625" style="416" customWidth="1"/>
    <col min="44" max="44" width="11.42578125" style="416" bestFit="1" customWidth="1"/>
    <col min="45" max="45" width="7.140625" style="416" bestFit="1" customWidth="1"/>
    <col min="46" max="46" width="10.85546875" style="416" customWidth="1"/>
    <col min="47" max="47" width="8" style="416" bestFit="1" customWidth="1"/>
    <col min="48" max="48" width="7.28515625" style="416" customWidth="1"/>
    <col min="49" max="49" width="7" style="416" customWidth="1"/>
    <col min="50" max="50" width="8" style="416" bestFit="1" customWidth="1"/>
    <col min="51" max="51" width="7.7109375" style="416" customWidth="1"/>
    <col min="52" max="52" width="7.5703125" style="416" customWidth="1"/>
    <col min="53" max="53" width="7.28515625" style="416" customWidth="1"/>
    <col min="54" max="54" width="7.5703125" style="416" customWidth="1"/>
    <col min="55" max="55" width="8" style="416" bestFit="1" customWidth="1"/>
    <col min="56" max="56" width="7.5703125" style="416" customWidth="1"/>
    <col min="57" max="57" width="5.7109375" style="416" customWidth="1"/>
    <col min="58" max="58" width="8" style="416" bestFit="1" customWidth="1"/>
    <col min="59" max="59" width="5.140625" style="416" bestFit="1" customWidth="1"/>
    <col min="60" max="60" width="8" style="416" bestFit="1" customWidth="1"/>
    <col min="61" max="62" width="8.7109375" style="416" customWidth="1"/>
    <col min="63" max="63" width="8.28515625" style="416" customWidth="1"/>
    <col min="64" max="64" width="9.7109375" style="416" customWidth="1"/>
    <col min="65" max="65" width="8" style="416" bestFit="1" customWidth="1"/>
    <col min="66" max="66" width="5.5703125" customWidth="1"/>
  </cols>
  <sheetData>
    <row r="1" spans="1:67" x14ac:dyDescent="0.2">
      <c r="B1" s="306"/>
      <c r="D1" s="263"/>
      <c r="F1" s="306"/>
      <c r="H1" s="264"/>
      <c r="I1" s="277" t="s">
        <v>85</v>
      </c>
      <c r="J1" s="262" t="str">
        <f>IF(K$1=0,"LastOrder",IF(K$1=1,"MinOrder","ОШИБКА"))</f>
        <v>LastOrder</v>
      </c>
      <c r="K1" s="278">
        <v>0</v>
      </c>
      <c r="L1" s="158"/>
      <c r="P1" s="125"/>
      <c r="V1" s="384"/>
      <c r="Y1" s="158"/>
      <c r="AE1" s="384"/>
      <c r="AH1" s="395"/>
    </row>
    <row r="2" spans="1:67" ht="18" x14ac:dyDescent="0.25">
      <c r="A2" s="96" t="s">
        <v>21</v>
      </c>
      <c r="B2" s="246" t="str">
        <f>IF(C$2&lt;=0,"д.б. &gt;0","")</f>
        <v/>
      </c>
      <c r="C2" s="144">
        <v>2</v>
      </c>
      <c r="D2" s="83"/>
      <c r="E2" s="96" t="s">
        <v>12</v>
      </c>
      <c r="F2" s="246" t="str">
        <f>IF(G$2&lt;2,"д.б. &gt;1","")</f>
        <v/>
      </c>
      <c r="G2" s="144">
        <v>20</v>
      </c>
      <c r="H2" s="84"/>
      <c r="I2" s="96" t="s">
        <v>0</v>
      </c>
      <c r="J2" s="247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4"/>
      <c r="Y2" s="158"/>
      <c r="AE2" s="384"/>
      <c r="AH2" s="395"/>
      <c r="AN2" s="478"/>
    </row>
    <row r="3" spans="1:67" ht="15" x14ac:dyDescent="0.25">
      <c r="A3" s="96"/>
      <c r="B3" s="246"/>
      <c r="C3" s="326"/>
      <c r="D3" s="30"/>
      <c r="E3" s="96"/>
      <c r="F3" s="246"/>
      <c r="G3" s="325"/>
      <c r="H3" s="31"/>
      <c r="I3" s="96" t="s">
        <v>1</v>
      </c>
      <c r="J3" s="247" t="str">
        <f>IF(K$3&lt;0,"д.б. &gt;0","")</f>
        <v/>
      </c>
      <c r="K3" s="148">
        <v>5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4"/>
      <c r="Y3" s="158"/>
      <c r="AE3" s="384"/>
      <c r="AH3" s="395"/>
    </row>
    <row r="4" spans="1:67" ht="15" x14ac:dyDescent="0.25">
      <c r="A4" s="96"/>
      <c r="B4" s="246"/>
      <c r="C4" s="326"/>
      <c r="D4" s="30"/>
      <c r="E4" s="96"/>
      <c r="F4" s="246"/>
      <c r="G4" s="326"/>
      <c r="H4" s="31"/>
      <c r="I4" s="96" t="s">
        <v>6</v>
      </c>
      <c r="J4" s="247" t="str">
        <f>IF(K$4&lt;2,"д.б. &gt;1","")</f>
        <v/>
      </c>
      <c r="K4" s="144">
        <v>8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4"/>
      <c r="Y4" s="158"/>
      <c r="AE4" s="384"/>
      <c r="AH4" s="395"/>
      <c r="AN4" s="508"/>
      <c r="AO4" s="508"/>
      <c r="AP4" s="508"/>
      <c r="AQ4" s="508"/>
      <c r="AR4" s="508"/>
      <c r="AS4" s="508"/>
      <c r="AT4" s="508"/>
      <c r="AU4" s="508"/>
      <c r="AV4" s="508"/>
      <c r="AW4" s="508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 x14ac:dyDescent="0.25">
      <c r="A5" s="97"/>
      <c r="B5" s="246"/>
      <c r="C5" s="375"/>
      <c r="D5" s="36"/>
      <c r="E5" s="97"/>
      <c r="F5" s="246"/>
      <c r="G5" s="327"/>
      <c r="H5" s="37"/>
      <c r="I5" s="97"/>
      <c r="J5" s="247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4"/>
      <c r="Y5" s="158"/>
      <c r="AE5" s="384"/>
      <c r="AH5" s="395"/>
      <c r="AN5" s="508"/>
      <c r="AO5" s="508"/>
      <c r="AP5" s="508"/>
      <c r="AQ5" s="508"/>
      <c r="AR5" s="508"/>
      <c r="AS5" s="508"/>
      <c r="AT5" s="508"/>
      <c r="AU5" s="508"/>
      <c r="AV5" s="508"/>
      <c r="AW5" s="508"/>
      <c r="AZ5"/>
      <c r="BB5"/>
      <c r="BC5"/>
      <c r="BD5"/>
      <c r="BE5"/>
      <c r="BF5"/>
      <c r="BG5"/>
      <c r="BH5"/>
      <c r="BI5"/>
      <c r="BJ5"/>
      <c r="BK5"/>
      <c r="BL5"/>
      <c r="BM5"/>
      <c r="BO5" s="494">
        <v>1</v>
      </c>
    </row>
    <row r="6" spans="1:67" ht="15" x14ac:dyDescent="0.25">
      <c r="A6" s="254" t="s">
        <v>22</v>
      </c>
      <c r="B6" s="246"/>
      <c r="C6" s="146">
        <v>5</v>
      </c>
      <c r="D6" s="40"/>
      <c r="E6" s="254" t="s">
        <v>13</v>
      </c>
      <c r="F6" s="246" t="str">
        <f>IF(G$6&lt;0,"д.б. &gt;=0","")</f>
        <v/>
      </c>
      <c r="G6" s="146">
        <v>0</v>
      </c>
      <c r="H6" s="41"/>
      <c r="I6" s="254" t="s">
        <v>2</v>
      </c>
      <c r="J6" s="247" t="str">
        <f>IF(K$6&lt;0,"д.б. &gt;=0","")</f>
        <v/>
      </c>
      <c r="K6" s="147">
        <v>0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4"/>
      <c r="Y6" s="158"/>
      <c r="AE6" s="384"/>
      <c r="AH6" s="395"/>
      <c r="AN6" s="477"/>
      <c r="AO6" s="479"/>
      <c r="AP6" s="479"/>
      <c r="AQ6" s="479"/>
      <c r="AR6" s="479"/>
      <c r="AS6" s="479"/>
      <c r="AT6" s="479"/>
      <c r="AZ6"/>
      <c r="BB6"/>
      <c r="BC6"/>
      <c r="BD6"/>
      <c r="BE6"/>
      <c r="BF6"/>
      <c r="BG6"/>
      <c r="BH6"/>
      <c r="BI6"/>
      <c r="BJ6"/>
      <c r="BK6"/>
      <c r="BL6"/>
      <c r="BM6"/>
      <c r="BO6" s="494"/>
    </row>
    <row r="7" spans="1:67" ht="15" x14ac:dyDescent="0.25">
      <c r="A7" s="254" t="s">
        <v>23</v>
      </c>
      <c r="B7" s="246"/>
      <c r="C7" s="145">
        <v>0</v>
      </c>
      <c r="D7" s="93"/>
      <c r="E7" s="254" t="s">
        <v>14</v>
      </c>
      <c r="F7" s="314"/>
      <c r="G7" s="145">
        <v>0</v>
      </c>
      <c r="H7" s="94"/>
      <c r="I7" s="254" t="s">
        <v>3</v>
      </c>
      <c r="J7" s="247" t="str">
        <f>IF(AND(K$6=0,K$7&lt;&gt;0),"д.б. =0","")</f>
        <v/>
      </c>
      <c r="K7" s="143">
        <v>0</v>
      </c>
      <c r="L7" s="135"/>
      <c r="M7" s="136" t="s">
        <v>35</v>
      </c>
      <c r="N7" s="136"/>
      <c r="O7" s="153">
        <v>230</v>
      </c>
      <c r="Q7" s="219"/>
      <c r="R7" s="114"/>
      <c r="S7" s="114"/>
      <c r="T7" s="114"/>
      <c r="U7" s="114"/>
      <c r="V7" s="384"/>
      <c r="Y7" s="158"/>
      <c r="AE7" s="384"/>
      <c r="AH7" s="395"/>
      <c r="AN7" s="477"/>
      <c r="AO7" s="479"/>
      <c r="AP7" s="479"/>
      <c r="AQ7" s="477"/>
      <c r="AR7" s="477"/>
      <c r="AS7" s="477"/>
      <c r="AT7" s="479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 x14ac:dyDescent="0.25">
      <c r="A8" s="254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76"/>
      <c r="D8" s="40"/>
      <c r="E8" s="254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7"/>
      <c r="H8" s="41"/>
      <c r="I8" s="254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7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4"/>
      <c r="Y8" s="158"/>
      <c r="AE8" s="384"/>
      <c r="AH8" s="395"/>
      <c r="AL8" s="427"/>
      <c r="AN8" s="479"/>
      <c r="AO8" s="479"/>
      <c r="AP8" s="479"/>
      <c r="AQ8" s="479"/>
      <c r="AR8" s="479"/>
      <c r="AS8" s="479"/>
      <c r="AT8" s="479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 x14ac:dyDescent="0.25">
      <c r="A9" s="286" t="s">
        <v>87</v>
      </c>
      <c r="B9" s="246"/>
      <c r="C9" s="287">
        <v>0</v>
      </c>
      <c r="D9" s="289"/>
      <c r="E9" s="286" t="s">
        <v>15</v>
      </c>
      <c r="F9" s="314"/>
      <c r="G9" s="287">
        <v>0</v>
      </c>
      <c r="H9" s="291"/>
      <c r="I9" s="286" t="s">
        <v>4</v>
      </c>
      <c r="J9" s="247" t="str">
        <f>IF(K$9&lt;0,"д.б. &gt;=0","")</f>
        <v/>
      </c>
      <c r="K9" s="292">
        <v>0</v>
      </c>
      <c r="L9" s="293"/>
      <c r="M9" s="290"/>
      <c r="N9" s="290"/>
      <c r="O9" s="294"/>
      <c r="Q9" s="221"/>
      <c r="R9" s="114"/>
      <c r="S9" s="114"/>
      <c r="T9" s="114"/>
      <c r="U9" s="114"/>
      <c r="V9" s="384"/>
      <c r="Y9" s="158"/>
      <c r="AE9" s="384"/>
      <c r="AH9" s="395"/>
      <c r="AN9" s="477"/>
      <c r="AO9" s="479"/>
      <c r="AP9" s="479"/>
      <c r="AQ9" s="480"/>
      <c r="AR9" s="479"/>
      <c r="AS9" s="479"/>
      <c r="AT9" s="479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 x14ac:dyDescent="0.25">
      <c r="A10" s="286" t="s">
        <v>88</v>
      </c>
      <c r="B10" s="246"/>
      <c r="C10" s="288">
        <v>0</v>
      </c>
      <c r="D10" s="295"/>
      <c r="E10" s="286" t="s">
        <v>16</v>
      </c>
      <c r="F10" s="314"/>
      <c r="G10" s="288">
        <v>0</v>
      </c>
      <c r="H10" s="296"/>
      <c r="I10" s="286" t="s">
        <v>5</v>
      </c>
      <c r="J10" s="247" t="str">
        <f>IF(AND(K$9=0,K$10&lt;&gt;0),"д.б. =0","")</f>
        <v/>
      </c>
      <c r="K10" s="297">
        <v>0</v>
      </c>
      <c r="L10" s="293"/>
      <c r="M10" s="298" t="s">
        <v>38</v>
      </c>
      <c r="N10" s="298"/>
      <c r="O10" s="299">
        <v>6000</v>
      </c>
      <c r="Q10" s="222"/>
      <c r="R10" s="114"/>
      <c r="S10" s="114"/>
      <c r="T10" s="114"/>
      <c r="U10" s="114"/>
      <c r="V10" s="384"/>
      <c r="Y10" s="158"/>
      <c r="AE10" s="384"/>
      <c r="AH10" s="395"/>
      <c r="AL10" s="427"/>
      <c r="AN10" s="477"/>
      <c r="AO10" s="479"/>
      <c r="AP10" s="479"/>
      <c r="AQ10" s="477"/>
      <c r="AR10" s="479"/>
      <c r="AS10" s="479"/>
      <c r="AT10" s="479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 x14ac:dyDescent="0.25">
      <c r="A11" s="286"/>
      <c r="B11" s="246"/>
      <c r="C11" s="378"/>
      <c r="D11" s="295"/>
      <c r="E11" s="286"/>
      <c r="F11" s="314"/>
      <c r="G11" s="378"/>
      <c r="H11" s="296"/>
      <c r="I11" s="286"/>
      <c r="J11" s="247"/>
      <c r="K11" s="379"/>
      <c r="L11" s="293"/>
      <c r="M11" s="298"/>
      <c r="N11" s="298"/>
      <c r="O11" s="380"/>
      <c r="Q11" s="222"/>
      <c r="R11" s="114"/>
      <c r="S11" s="114"/>
      <c r="T11" s="114"/>
      <c r="U11" s="114"/>
      <c r="V11" s="384"/>
      <c r="Y11" s="158"/>
      <c r="AE11" s="384"/>
      <c r="AH11" s="395"/>
      <c r="AL11" s="427"/>
      <c r="AN11" s="477"/>
      <c r="AO11" s="479"/>
      <c r="AP11" s="479"/>
      <c r="AQ11" s="480"/>
      <c r="AR11" s="479"/>
      <c r="AS11" s="479"/>
      <c r="AT11" s="479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 x14ac:dyDescent="0.25">
      <c r="A12" s="279" t="s">
        <v>24</v>
      </c>
      <c r="B12" s="246"/>
      <c r="C12" s="280">
        <v>0</v>
      </c>
      <c r="D12" s="295"/>
      <c r="E12" s="279" t="s">
        <v>90</v>
      </c>
      <c r="F12" s="247" t="str">
        <f>IF(G$12&lt;0,"д.б. &gt;=0","")</f>
        <v/>
      </c>
      <c r="G12" s="315">
        <v>0</v>
      </c>
      <c r="H12" s="243"/>
      <c r="I12" s="279" t="s">
        <v>92</v>
      </c>
      <c r="J12" s="247" t="str">
        <f>IF(K$12&lt;0,"д.б. &gt;=0","")</f>
        <v/>
      </c>
      <c r="K12" s="318">
        <v>0</v>
      </c>
      <c r="L12" s="293"/>
      <c r="M12" s="298"/>
      <c r="N12" s="298"/>
      <c r="O12" s="380"/>
      <c r="Q12" s="222"/>
      <c r="R12" s="114"/>
      <c r="S12" s="114"/>
      <c r="T12" s="114"/>
      <c r="U12" s="114"/>
      <c r="V12" s="384"/>
      <c r="Y12" s="158"/>
      <c r="AE12" s="384"/>
      <c r="AH12" s="395"/>
      <c r="AN12" s="477"/>
      <c r="AO12" s="479"/>
      <c r="AP12" s="479"/>
      <c r="AQ12" s="477"/>
      <c r="AR12" s="479"/>
      <c r="AS12" s="479"/>
      <c r="AT12" s="479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 x14ac:dyDescent="0.25">
      <c r="A13" s="279" t="s">
        <v>25</v>
      </c>
      <c r="B13" s="246"/>
      <c r="C13" s="240">
        <v>0</v>
      </c>
      <c r="D13" s="295"/>
      <c r="E13" s="279" t="s">
        <v>91</v>
      </c>
      <c r="F13" s="247" t="str">
        <f>IF(AND(G$12=0,G$13&lt;&gt;0),"д.б. =0","")</f>
        <v/>
      </c>
      <c r="G13" s="240">
        <v>0</v>
      </c>
      <c r="H13" s="243"/>
      <c r="I13" s="279" t="s">
        <v>93</v>
      </c>
      <c r="J13" s="247" t="str">
        <f>IF(AND(K$12=0,K$13&lt;&gt;0),"д.б. =0","")</f>
        <v/>
      </c>
      <c r="K13" s="316">
        <v>0</v>
      </c>
      <c r="L13" s="293"/>
      <c r="M13" s="298"/>
      <c r="N13" s="298"/>
      <c r="O13" s="380"/>
      <c r="Q13" s="222"/>
      <c r="R13" s="114"/>
      <c r="S13" s="114"/>
      <c r="T13" s="114"/>
      <c r="U13" s="114"/>
      <c r="V13" s="384"/>
      <c r="Y13" s="158"/>
      <c r="AE13" s="384"/>
      <c r="AH13" s="395"/>
      <c r="AN13" s="477"/>
      <c r="AO13" s="479"/>
      <c r="AP13" s="479"/>
      <c r="AQ13" s="477"/>
      <c r="AR13" s="479"/>
      <c r="AS13" s="479"/>
      <c r="AT13" s="479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 x14ac:dyDescent="0.25">
      <c r="A14" s="139"/>
      <c r="B14" s="246"/>
      <c r="C14" s="381"/>
      <c r="D14" s="141"/>
      <c r="E14" s="139"/>
      <c r="F14" s="246"/>
      <c r="G14" s="381"/>
      <c r="H14" s="142"/>
      <c r="I14" s="139"/>
      <c r="J14" s="247"/>
      <c r="K14" s="382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4"/>
      <c r="Y14" s="158"/>
      <c r="AE14" s="384"/>
      <c r="AH14" s="395"/>
      <c r="AJ14" s="442"/>
      <c r="AN14" s="477"/>
      <c r="AO14" s="479"/>
      <c r="AP14" s="479"/>
      <c r="AQ14" s="477"/>
      <c r="AR14" s="479"/>
      <c r="AS14" s="479"/>
      <c r="AT14" s="479"/>
      <c r="AV14" s="452"/>
      <c r="BO14" s="229"/>
    </row>
    <row r="15" spans="1:67" ht="15" x14ac:dyDescent="0.25">
      <c r="D15" s="241"/>
      <c r="E15" s="96" t="s">
        <v>82</v>
      </c>
      <c r="F15" s="246" t="str">
        <f>IF(G$15&lt;0,"д.б. &gt;=0","")</f>
        <v/>
      </c>
      <c r="G15" s="240">
        <v>0</v>
      </c>
      <c r="H15" s="243"/>
      <c r="I15" s="96" t="s">
        <v>83</v>
      </c>
      <c r="J15" s="247" t="str">
        <f>IF(K$15&lt;0,"д.б. &gt;=0","")</f>
        <v/>
      </c>
      <c r="K15" s="261">
        <v>0</v>
      </c>
      <c r="L15" s="244"/>
      <c r="M15" s="491"/>
      <c r="N15" s="491"/>
      <c r="O15" s="491"/>
      <c r="P15" s="491"/>
      <c r="Q15" s="491"/>
      <c r="R15" s="491"/>
      <c r="S15" s="491"/>
      <c r="T15" s="491"/>
      <c r="U15" s="491"/>
      <c r="V15" s="384"/>
      <c r="Y15" s="158"/>
      <c r="AE15" s="384"/>
      <c r="AH15" s="395"/>
      <c r="AL15" s="427"/>
      <c r="AN15" s="477"/>
      <c r="AO15" s="479"/>
      <c r="AP15" s="479"/>
      <c r="AQ15" s="481"/>
      <c r="AR15" s="479"/>
      <c r="AS15" s="479"/>
      <c r="AT15" s="481"/>
      <c r="BO15" s="229"/>
    </row>
    <row r="16" spans="1:67" ht="15" x14ac:dyDescent="0.25">
      <c r="A16" s="482" t="s">
        <v>372</v>
      </c>
      <c r="B16" s="483"/>
      <c r="C16" s="484">
        <v>15</v>
      </c>
      <c r="D16" s="241"/>
      <c r="E16" s="96"/>
      <c r="F16" s="242"/>
      <c r="G16" s="383"/>
      <c r="H16" s="243"/>
      <c r="I16" s="98" t="s">
        <v>86</v>
      </c>
      <c r="J16" s="247" t="str">
        <f>IF(K$16&lt;0,"д.б. &gt;=0","")</f>
        <v/>
      </c>
      <c r="K16" s="260">
        <v>0</v>
      </c>
      <c r="L16" s="244"/>
      <c r="M16" s="491"/>
      <c r="N16" s="491"/>
      <c r="O16" s="491"/>
      <c r="P16" s="491"/>
      <c r="Q16" s="491"/>
      <c r="R16" s="491"/>
      <c r="S16" s="491"/>
      <c r="T16" s="491"/>
      <c r="U16" s="491"/>
      <c r="V16" s="384"/>
      <c r="Y16" s="158"/>
      <c r="AE16" s="384"/>
      <c r="AH16" s="395"/>
      <c r="BO16" s="229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5"/>
      <c r="W17" s="114"/>
      <c r="X17" s="114"/>
      <c r="Y17" s="115"/>
      <c r="Z17" s="114"/>
      <c r="AA17" s="114"/>
      <c r="AB17" s="114"/>
      <c r="AC17" s="114"/>
      <c r="AD17" s="114"/>
      <c r="AE17" s="385"/>
      <c r="AF17" s="114"/>
      <c r="AG17" s="114"/>
      <c r="AH17" s="395"/>
      <c r="BO17" s="229"/>
    </row>
    <row r="18" spans="1:67" ht="65.25" customHeight="1" thickBot="1" x14ac:dyDescent="0.25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01" t="s">
        <v>89</v>
      </c>
      <c r="N18" s="502"/>
      <c r="O18" s="133" t="s">
        <v>26</v>
      </c>
      <c r="P18" s="503" t="s">
        <v>81</v>
      </c>
      <c r="Q18" s="504"/>
      <c r="R18" s="499" t="s">
        <v>31</v>
      </c>
      <c r="S18" s="500"/>
      <c r="T18" s="495" t="s">
        <v>34</v>
      </c>
      <c r="U18" s="496"/>
      <c r="V18" s="386"/>
      <c r="W18" s="389" t="s">
        <v>39</v>
      </c>
      <c r="X18" s="339" t="s">
        <v>94</v>
      </c>
      <c r="Y18" s="342"/>
      <c r="Z18" s="343" t="s">
        <v>62</v>
      </c>
      <c r="AA18" s="344" t="s">
        <v>40</v>
      </c>
      <c r="AB18" s="497" t="s">
        <v>48</v>
      </c>
      <c r="AC18" s="498"/>
      <c r="AD18" s="345" t="s">
        <v>49</v>
      </c>
      <c r="AE18" s="387"/>
      <c r="AF18" s="340" t="s">
        <v>42</v>
      </c>
      <c r="AG18" s="341" t="s">
        <v>41</v>
      </c>
      <c r="AH18" s="395"/>
      <c r="AI18" s="396" t="s">
        <v>49</v>
      </c>
      <c r="AJ18" s="505" t="s">
        <v>99</v>
      </c>
      <c r="AK18" s="506"/>
      <c r="AL18" s="507"/>
      <c r="AM18" s="505" t="s">
        <v>100</v>
      </c>
      <c r="AN18" s="506"/>
      <c r="AO18" s="507"/>
      <c r="AP18" s="505" t="s">
        <v>101</v>
      </c>
      <c r="AQ18" s="506"/>
      <c r="AR18" s="507"/>
      <c r="AS18" s="505" t="s">
        <v>102</v>
      </c>
      <c r="AT18" s="506"/>
      <c r="AU18" s="507"/>
      <c r="AV18" s="505" t="s">
        <v>103</v>
      </c>
      <c r="AW18" s="506"/>
      <c r="AX18" s="507"/>
      <c r="AY18" s="505" t="s">
        <v>104</v>
      </c>
      <c r="AZ18" s="507"/>
      <c r="BA18" s="505" t="s">
        <v>105</v>
      </c>
      <c r="BB18" s="506"/>
      <c r="BC18" s="507"/>
      <c r="BD18" s="505" t="s">
        <v>106</v>
      </c>
      <c r="BE18" s="507"/>
      <c r="BF18" s="505" t="s">
        <v>107</v>
      </c>
      <c r="BG18" s="506"/>
      <c r="BH18" s="507"/>
      <c r="BI18" s="505" t="s">
        <v>108</v>
      </c>
      <c r="BJ18" s="507"/>
      <c r="BK18" s="505" t="s">
        <v>109</v>
      </c>
      <c r="BL18" s="506"/>
      <c r="BM18" s="507"/>
      <c r="BN18" s="134"/>
      <c r="BO18" s="230"/>
    </row>
    <row r="19" spans="1:67" ht="15.75" thickBot="1" x14ac:dyDescent="0.3">
      <c r="A19" s="66"/>
      <c r="B19" s="304"/>
      <c r="C19" s="305"/>
      <c r="D19" s="70"/>
      <c r="E19" s="67"/>
      <c r="F19" s="68"/>
      <c r="G19" s="69"/>
      <c r="H19" s="72"/>
      <c r="I19" s="67"/>
      <c r="J19" s="68"/>
      <c r="K19" s="69"/>
      <c r="L19" s="157"/>
      <c r="M19" s="309" t="s">
        <v>79</v>
      </c>
      <c r="N19" s="310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5"/>
      <c r="W19" s="346"/>
      <c r="X19" s="116"/>
      <c r="Y19" s="115"/>
      <c r="Z19" s="346"/>
      <c r="AA19" s="116"/>
      <c r="AB19" s="347" t="s">
        <v>43</v>
      </c>
      <c r="AC19" s="348" t="s">
        <v>44</v>
      </c>
      <c r="AD19" s="349"/>
      <c r="AE19" s="385"/>
      <c r="AF19" s="347"/>
      <c r="AG19" s="348"/>
      <c r="AH19" s="395"/>
      <c r="AI19" s="397"/>
      <c r="AJ19" s="474" t="s">
        <v>98</v>
      </c>
      <c r="AK19" s="475" t="s">
        <v>97</v>
      </c>
      <c r="AL19" s="476" t="s">
        <v>110</v>
      </c>
      <c r="AM19" s="474" t="s">
        <v>98</v>
      </c>
      <c r="AN19" s="475" t="s">
        <v>97</v>
      </c>
      <c r="AO19" s="476" t="s">
        <v>110</v>
      </c>
      <c r="AP19" s="474" t="s">
        <v>98</v>
      </c>
      <c r="AQ19" s="475" t="s">
        <v>97</v>
      </c>
      <c r="AR19" s="476" t="s">
        <v>110</v>
      </c>
      <c r="AS19" s="474" t="s">
        <v>98</v>
      </c>
      <c r="AT19" s="475" t="s">
        <v>97</v>
      </c>
      <c r="AU19" s="476" t="s">
        <v>110</v>
      </c>
      <c r="AV19" s="474" t="s">
        <v>98</v>
      </c>
      <c r="AW19" s="475" t="s">
        <v>97</v>
      </c>
      <c r="AX19" s="476" t="s">
        <v>110</v>
      </c>
      <c r="AY19" s="474" t="s">
        <v>98</v>
      </c>
      <c r="AZ19" s="476" t="s">
        <v>97</v>
      </c>
      <c r="BA19" s="474" t="s">
        <v>98</v>
      </c>
      <c r="BB19" s="475" t="s">
        <v>97</v>
      </c>
      <c r="BC19" s="476" t="s">
        <v>110</v>
      </c>
      <c r="BD19" s="474" t="s">
        <v>98</v>
      </c>
      <c r="BE19" s="476" t="s">
        <v>97</v>
      </c>
      <c r="BF19" s="474" t="s">
        <v>98</v>
      </c>
      <c r="BG19" s="475" t="s">
        <v>97</v>
      </c>
      <c r="BH19" s="476" t="s">
        <v>110</v>
      </c>
      <c r="BI19" s="474" t="s">
        <v>98</v>
      </c>
      <c r="BJ19" s="476" t="s">
        <v>97</v>
      </c>
      <c r="BK19" s="474" t="s">
        <v>98</v>
      </c>
      <c r="BL19" s="475" t="s">
        <v>97</v>
      </c>
      <c r="BM19" s="476" t="s">
        <v>110</v>
      </c>
      <c r="BO19" s="229"/>
    </row>
    <row r="20" spans="1:67" ht="15" x14ac:dyDescent="0.25">
      <c r="A20" s="165">
        <v>1</v>
      </c>
      <c r="B20" s="107">
        <v>0</v>
      </c>
      <c r="C20" s="112">
        <f>C$2</f>
        <v>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0.14000000000000001</v>
      </c>
      <c r="N20" s="311">
        <f t="shared" ref="N20:N39" si="2">IF($O$10&gt;0,M20/$O$10,0)</f>
        <v>2.3333333333333336E-5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9.9999999999999991E-6</v>
      </c>
      <c r="R20" s="119">
        <f>ROUND(P20/O20,0)</f>
        <v>1</v>
      </c>
      <c r="S20" s="120">
        <v>0</v>
      </c>
      <c r="T20" s="126">
        <f>R20+C20</f>
        <v>3</v>
      </c>
      <c r="U20" s="127">
        <v>0</v>
      </c>
      <c r="V20" s="385"/>
      <c r="W20" s="350">
        <f t="shared" ref="W20:W39" si="5">ROUND(K20*$O$7,2)</f>
        <v>2.2999999999999998</v>
      </c>
      <c r="X20" s="351">
        <f>ROUND(P20+W20,2)</f>
        <v>2.36</v>
      </c>
      <c r="Y20" s="354"/>
      <c r="Z20" s="355">
        <f t="shared" ref="Z20:Z39" si="6">IF($O$10&gt;0,ROUND($O$10-X20,2),0)</f>
        <v>5997.64</v>
      </c>
      <c r="AA20" s="356">
        <f t="shared" ref="AA20:AA39" si="7">IF($O$10&gt;0,ROUND(X20/$O$10,2),0)</f>
        <v>0</v>
      </c>
      <c r="AB20" s="357">
        <f t="shared" ref="AB20:AB39" si="8">IF(AND(Z20&gt;0,$O$4&gt;0),($O$10-P20-W20*$O$8)/O20,0)</f>
        <v>59994.799999999996</v>
      </c>
      <c r="AC20" s="358">
        <f t="shared" ref="AC20:AC39" si="9">IF(AB20&gt;0,AB20+G20,0)</f>
        <v>59994.799999999996</v>
      </c>
      <c r="AD20" s="174">
        <v>1</v>
      </c>
      <c r="AE20" s="388"/>
      <c r="AF20" s="352">
        <f t="shared" ref="AF20:AF39" si="10">IF(P20&gt;0,ROUND(W20/P20,2),0)</f>
        <v>38.33</v>
      </c>
      <c r="AG20" s="353">
        <f t="shared" ref="AG20:AG39" si="11">IF($O$10&gt;0,ROUND(W20/$O$10,2),0)</f>
        <v>0</v>
      </c>
      <c r="AH20" s="395"/>
      <c r="AI20" s="398">
        <v>1</v>
      </c>
      <c r="AJ20" s="465">
        <f>COUNTIFS('Данные из терминала'!C:C,AI20,'Данные из терминала'!B:B,"sell")</f>
        <v>0</v>
      </c>
      <c r="AK20" s="466">
        <f>COUNTIFS('Данные из терминала'!C:C,AI20,'Данные из терминала'!B:B,"buy")</f>
        <v>0</v>
      </c>
      <c r="AL20" s="467">
        <f>COUNTIFS('Данные из терминала'!C:C,AI20)</f>
        <v>0</v>
      </c>
      <c r="AM20" s="465">
        <f>SUMIFS('Данные из терминала'!E:E,'Данные из терминала'!C:C,AI20,'Данные из терминала'!B:B,"sell")</f>
        <v>0</v>
      </c>
      <c r="AN20" s="466">
        <f>SUMIFS('Данные из терминала'!E:E,'Данные из терминала'!C:C,AI20,'Данные из терминала'!B:B,"buy")</f>
        <v>0</v>
      </c>
      <c r="AO20" s="467">
        <f>SUMIFS('Данные из терминала'!E:E,'Данные из терминала'!C:C,AI20)</f>
        <v>0</v>
      </c>
      <c r="AP20" s="465">
        <f>SUMIFS('Данные из терминала'!N:N,'Данные из терминала'!C:C,AI20,'Данные из терминала'!B:B,"sell")</f>
        <v>0</v>
      </c>
      <c r="AQ20" s="466">
        <f>SUMIFS('Данные из терминала'!N:N,'Данные из терминала'!C:C,AI20,'Данные из терминала'!B:B,"buy")</f>
        <v>0</v>
      </c>
      <c r="AR20" s="467">
        <f>SUMIFS('Данные из терминала'!N:N,'Данные из терминала'!C:C,AI20)</f>
        <v>0</v>
      </c>
      <c r="AS20" s="465">
        <f>ROUND(IF(AJ20&gt;0,AVERAGEIFS('Данные из терминала'!N:N,'Данные из терминала'!C:C,AI20,'Данные из терминала'!B:B,"sell"),0),2)</f>
        <v>0</v>
      </c>
      <c r="AT20" s="466">
        <f>ROUND(IF(AK20&gt;0,AVERAGEIFS('Данные из терминала'!N:N,'Данные из терминала'!C:C,AI20,'Данные из терминала'!B:B,"buy"),0),2)</f>
        <v>0</v>
      </c>
      <c r="AU20" s="467">
        <f>ROUND(IF(AL20&gt;0,AVERAGEIFS('Данные из терминала'!N:N,'Данные из терминала'!C:C,AI20),0),2)</f>
        <v>0</v>
      </c>
      <c r="AV20" s="468">
        <f>IF(AJ20&gt;0,AP20/$AR$42,0)</f>
        <v>0</v>
      </c>
      <c r="AW20" s="469">
        <f>IF(AK20&gt;0,AQ20/$AR$42,0)</f>
        <v>0</v>
      </c>
      <c r="AX20" s="470">
        <f>IF(AL20&gt;0,AR20/$AR$42,0)</f>
        <v>0</v>
      </c>
      <c r="AY20" s="465">
        <f>IF(AJ20&gt;0,VLOOKUP(AI20,Сводная!A:E,5,0),0)</f>
        <v>0</v>
      </c>
      <c r="AZ20" s="467">
        <f>IF(AK20&gt;0,VLOOKUP(AI20,Сводная!A:B,2,0),0)</f>
        <v>0</v>
      </c>
      <c r="BA20" s="465">
        <f>ROUND(IF(AJ20&gt;0,AVERAGEIFS('Данные из терминала'!L:L,'Данные из терминала'!C:C,AI20,'Данные из терминала'!B:B,"sell"),0),1)</f>
        <v>0</v>
      </c>
      <c r="BB20" s="466">
        <f>ROUND(IF(AK20&gt;0,AVERAGEIFS('Данные из терминала'!L:L,'Данные из терминала'!C:C,AI20,'Данные из терминала'!B:B,"buy"),0),1)</f>
        <v>0</v>
      </c>
      <c r="BC20" s="467">
        <f>ROUND(IF(AL20&gt;0,AVERAGEIFS('Данные из терминала'!L:L,'Данные из терминала'!C:C,AI20),0),1)</f>
        <v>0</v>
      </c>
      <c r="BD20" s="465">
        <f>IF(AJ20&gt;0,VLOOKUP(AI20,Сводная!A:F,6,0),0)</f>
        <v>0</v>
      </c>
      <c r="BE20" s="467">
        <f>IF(AK20&gt;0,VLOOKUP(AI20,Сводная!A:C,3,0),0)</f>
        <v>0</v>
      </c>
      <c r="BF20" s="465">
        <f>ROUND(IF(AJ20&gt;0,AVERAGEIFS('Данные из терминала'!M:M,'Данные из терминала'!C:C,AI20,'Данные из терминала'!B:B,"sell"),0),1)</f>
        <v>0</v>
      </c>
      <c r="BG20" s="466">
        <f>ROUND(IF(AK20&gt;0,AVERAGEIFS('Данные из терминала'!M:M,'Данные из терминала'!C:C,AI20,'Данные из терминала'!B:B,"buy"),0),1)</f>
        <v>0</v>
      </c>
      <c r="BH20" s="467">
        <f>ROUND(IF(AL20&gt;0,AVERAGEIFS('Данные из терминала'!M:M,'Данные из терминала'!C:C,AI20),0),1)</f>
        <v>0</v>
      </c>
      <c r="BI20" s="471">
        <f>IF(AJ20&gt;0,VLOOKUP(AI20,Сводная!A:G,7,0),0)</f>
        <v>0</v>
      </c>
      <c r="BJ20" s="472">
        <f>IF(AK20&gt;0,VLOOKUP(AI20,Сводная!A:D,4,0),0)</f>
        <v>0</v>
      </c>
      <c r="BK20" s="471">
        <f>IF(AJ20&gt;0,AVERAGEIFS('Данные из терминала'!O:O,'Данные из терминала'!C:C,AI20,'Данные из терминала'!B:B,"sell"),0)</f>
        <v>0</v>
      </c>
      <c r="BL20" s="473">
        <f>IF(AK20&gt;0,AVERAGEIFS('Данные из терминала'!O:O,'Данные из терминала'!C:C,AI20,'Данные из терминала'!B:B,"buy"),0)</f>
        <v>0</v>
      </c>
      <c r="BM20" s="472">
        <f>IF(AL20&gt;0,AVERAGEIFS('Данные из терминала'!O:O,'Данные из терминала'!C:C,AI20),0)</f>
        <v>0</v>
      </c>
      <c r="BO20" s="229"/>
    </row>
    <row r="21" spans="1:67" ht="15" x14ac:dyDescent="0.2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20</v>
      </c>
      <c r="G21" s="100">
        <f t="shared" ref="G21:G39" si="15">G20+F21</f>
        <v>20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0.28000000000000003</v>
      </c>
      <c r="N21" s="311">
        <f t="shared" si="2"/>
        <v>4.6666666666666672E-5</v>
      </c>
      <c r="O21" s="159">
        <f t="shared" si="3"/>
        <v>0.2</v>
      </c>
      <c r="P21" s="212">
        <f t="shared" ref="P21:P39" si="17">ROUND((ROUND(K20,2)*(G21-G20)*$O$4+P20+J21*$O$6),2)</f>
        <v>2.12</v>
      </c>
      <c r="Q21" s="225">
        <f t="shared" si="4"/>
        <v>3.5333333333333337E-4</v>
      </c>
      <c r="R21" s="119">
        <f>ROUND(P21/O21,0)</f>
        <v>11</v>
      </c>
      <c r="S21" s="120">
        <f>ROUND(R21/G21,2)</f>
        <v>0.55000000000000004</v>
      </c>
      <c r="T21" s="126">
        <f t="shared" ref="T21:T39" si="18">R21+C21</f>
        <v>13</v>
      </c>
      <c r="U21" s="127">
        <f>ROUND(T21/G21,2)</f>
        <v>0.65</v>
      </c>
      <c r="V21" s="385"/>
      <c r="W21" s="350">
        <f t="shared" si="5"/>
        <v>4.5999999999999996</v>
      </c>
      <c r="X21" s="351">
        <f t="shared" ref="X21:X39" si="19">ROUND(P21+W21,2)</f>
        <v>6.72</v>
      </c>
      <c r="Y21" s="354"/>
      <c r="Z21" s="355">
        <f t="shared" si="6"/>
        <v>5993.28</v>
      </c>
      <c r="AA21" s="356">
        <f t="shared" si="7"/>
        <v>0</v>
      </c>
      <c r="AB21" s="357">
        <f t="shared" si="8"/>
        <v>29984.799999999999</v>
      </c>
      <c r="AC21" s="358">
        <f t="shared" si="9"/>
        <v>30004.799999999999</v>
      </c>
      <c r="AD21" s="174">
        <v>2</v>
      </c>
      <c r="AE21" s="388"/>
      <c r="AF21" s="352">
        <f t="shared" si="10"/>
        <v>2.17</v>
      </c>
      <c r="AG21" s="353">
        <f t="shared" si="11"/>
        <v>0</v>
      </c>
      <c r="AH21" s="395"/>
      <c r="AI21" s="398">
        <v>2</v>
      </c>
      <c r="AJ21" s="399">
        <f>COUNTIFS('Данные из терминала'!C:C,AI21,'Данные из терминала'!B:B,"sell")</f>
        <v>0</v>
      </c>
      <c r="AK21" s="400">
        <f>COUNTIFS('Данные из терминала'!C:C,AI21,'Данные из терминала'!B:B,"buy")</f>
        <v>0</v>
      </c>
      <c r="AL21" s="401">
        <f>COUNTIFS('Данные из терминала'!C:C,AI21)</f>
        <v>0</v>
      </c>
      <c r="AM21" s="399">
        <f>SUMIFS('Данные из терминала'!E:E,'Данные из терминала'!C:C,AI21,'Данные из терминала'!B:B,"sell")</f>
        <v>0</v>
      </c>
      <c r="AN21" s="400">
        <f>SUMIFS('Данные из терминала'!E:E,'Данные из терминала'!C:C,AI21,'Данные из терминала'!B:B,"buy")</f>
        <v>0</v>
      </c>
      <c r="AO21" s="401">
        <f>SUMIFS('Данные из терминала'!E:E,'Данные из терминала'!C:C,AI21)</f>
        <v>0</v>
      </c>
      <c r="AP21" s="399">
        <f>SUMIFS('Данные из терминала'!N:N,'Данные из терминала'!C:C,AI21,'Данные из терминала'!B:B,"sell")</f>
        <v>0</v>
      </c>
      <c r="AQ21" s="400">
        <f>SUMIFS('Данные из терминала'!N:N,'Данные из терминала'!C:C,AI21,'Данные из терминала'!B:B,"buy")</f>
        <v>0</v>
      </c>
      <c r="AR21" s="401">
        <f>SUMIFS('Данные из терминала'!N:N,'Данные из терминала'!C:C,AI21)</f>
        <v>0</v>
      </c>
      <c r="AS21" s="399">
        <f>ROUND(IF(AJ21&gt;0,AVERAGEIFS('Данные из терминала'!N:N,'Данные из терминала'!C:C,AI21,'Данные из терминала'!B:B,"sell"),0),2)</f>
        <v>0</v>
      </c>
      <c r="AT21" s="400">
        <f>ROUND(IF(AK21&gt;0,AVERAGEIFS('Данные из терминала'!N:N,'Данные из терминала'!C:C,AI21,'Данные из терминала'!B:B,"buy"),0),2)</f>
        <v>0</v>
      </c>
      <c r="AU21" s="401">
        <f>ROUND(IF(AL21&gt;0,AVERAGEIFS('Данные из терминала'!N:N,'Данные из терминала'!C:C,AI21),0),2)</f>
        <v>0</v>
      </c>
      <c r="AV21" s="402">
        <f t="shared" ref="AV21:AV39" si="20">IF(AJ21&gt;0,AP21/$AR$42,0)</f>
        <v>0</v>
      </c>
      <c r="AW21" s="403">
        <f t="shared" ref="AW21:AW39" si="21">IF(AK21&gt;0,AQ21/$AR$42,0)</f>
        <v>0</v>
      </c>
      <c r="AX21" s="404">
        <f t="shared" ref="AX21:AX39" si="22">IF(AL21&gt;0,AR21/$AR$42,0)</f>
        <v>0</v>
      </c>
      <c r="AY21" s="399">
        <f>IF(AJ21&gt;0,VLOOKUP(AI21,Сводная!A:E,5,0),0)</f>
        <v>0</v>
      </c>
      <c r="AZ21" s="401">
        <f>IF(AK21&gt;0,VLOOKUP(AI21,Сводная!A:B,2,0),0)</f>
        <v>0</v>
      </c>
      <c r="BA21" s="399">
        <f>ROUND(IF(AJ21&gt;0,AVERAGEIFS('Данные из терминала'!L:L,'Данные из терминала'!C:C,AI21,'Данные из терминала'!B:B,"sell"),0),1)</f>
        <v>0</v>
      </c>
      <c r="BB21" s="400">
        <f>ROUND(IF(AK21&gt;0,AVERAGEIFS('Данные из терминала'!L:L,'Данные из терминала'!C:C,AI21,'Данные из терминала'!B:B,"buy"),0),1)</f>
        <v>0</v>
      </c>
      <c r="BC21" s="401">
        <f>ROUND(IF(AL21&gt;0,AVERAGEIFS('Данные из терминала'!L:L,'Данные из терминала'!C:C,AI21),0),1)</f>
        <v>0</v>
      </c>
      <c r="BD21" s="399">
        <f>IF(AJ21&gt;0,VLOOKUP(AI21,Сводная!A:F,6,0),0)</f>
        <v>0</v>
      </c>
      <c r="BE21" s="401">
        <f>IF(AK21&gt;0,VLOOKUP(AI21,Сводная!A:C,3,0),0)</f>
        <v>0</v>
      </c>
      <c r="BF21" s="399">
        <f>ROUND(IF(AJ21&gt;0,AVERAGEIFS('Данные из терминала'!M:M,'Данные из терминала'!C:C,AI21,'Данные из терминала'!B:B,"sell"),0),1)</f>
        <v>0</v>
      </c>
      <c r="BG21" s="400">
        <f>ROUND(IF(AK21&gt;0,AVERAGEIFS('Данные из терминала'!M:M,'Данные из терминала'!C:C,AI21,'Данные из терминала'!B:B,"buy"),0),1)</f>
        <v>0</v>
      </c>
      <c r="BH21" s="401">
        <f>ROUND(IF(AL21&gt;0,AVERAGEIFS('Данные из терминала'!M:M,'Данные из терминала'!C:C,AI21),0),1)</f>
        <v>0</v>
      </c>
      <c r="BI21" s="405">
        <f>IF(AJ21&gt;0,VLOOKUP(AI21,Сводная!A:G,7,0),0)</f>
        <v>0</v>
      </c>
      <c r="BJ21" s="406">
        <f>IF(AK21&gt;0,VLOOKUP(AI21,Сводная!A:D,4,0),0)</f>
        <v>0</v>
      </c>
      <c r="BK21" s="405">
        <f>IF(AJ21&gt;0,AVERAGEIFS('Данные из терминала'!O:O,'Данные из терминала'!C:C,AI21,'Данные из терминала'!B:B,"sell"),0)</f>
        <v>0</v>
      </c>
      <c r="BL21" s="407">
        <f>IF(AK21&gt;0,AVERAGEIFS('Данные из терминала'!O:O,'Данные из терминала'!C:C,AI21,'Данные из терминала'!B:B,"buy"),0)</f>
        <v>0</v>
      </c>
      <c r="BM21" s="406">
        <f>IF(AL21&gt;0,AVERAGEIFS('Данные из терминала'!O:O,'Данные из терминала'!C:C,AI21),0)</f>
        <v>0</v>
      </c>
      <c r="BO21" s="229"/>
    </row>
    <row r="22" spans="1:67" ht="15" x14ac:dyDescent="0.25">
      <c r="A22" s="165">
        <v>3</v>
      </c>
      <c r="B22" s="107">
        <f t="shared" si="12"/>
        <v>0</v>
      </c>
      <c r="C22" s="112">
        <f t="shared" si="13"/>
        <v>2</v>
      </c>
      <c r="D22" s="76"/>
      <c r="E22" s="107">
        <f t="shared" si="14"/>
        <v>0</v>
      </c>
      <c r="F22" s="105">
        <f>F21+E22</f>
        <v>20</v>
      </c>
      <c r="G22" s="100">
        <f>G21+F22</f>
        <v>40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0.42</v>
      </c>
      <c r="N22" s="311">
        <f t="shared" si="2"/>
        <v>6.9999999999999994E-5</v>
      </c>
      <c r="O22" s="159">
        <f t="shared" si="3"/>
        <v>0.3</v>
      </c>
      <c r="P22" s="212">
        <f t="shared" si="17"/>
        <v>6.18</v>
      </c>
      <c r="Q22" s="225">
        <f t="shared" si="4"/>
        <v>1.0299999999999999E-3</v>
      </c>
      <c r="R22" s="119">
        <f t="shared" ref="R22:R39" si="24">ROUND(P22/O22,0)</f>
        <v>21</v>
      </c>
      <c r="S22" s="120">
        <f t="shared" ref="S22:S39" si="25">ROUND(R22/G22,2)</f>
        <v>0.53</v>
      </c>
      <c r="T22" s="126">
        <f t="shared" si="18"/>
        <v>23</v>
      </c>
      <c r="U22" s="127">
        <f t="shared" ref="U22:U39" si="26">ROUND(T22/G22,2)</f>
        <v>0.57999999999999996</v>
      </c>
      <c r="V22" s="385"/>
      <c r="W22" s="350">
        <f t="shared" si="5"/>
        <v>6.9</v>
      </c>
      <c r="X22" s="351">
        <f t="shared" si="19"/>
        <v>13.08</v>
      </c>
      <c r="Y22" s="354"/>
      <c r="Z22" s="355">
        <f t="shared" si="6"/>
        <v>5986.92</v>
      </c>
      <c r="AA22" s="356">
        <f t="shared" si="7"/>
        <v>0</v>
      </c>
      <c r="AB22" s="357">
        <f t="shared" si="8"/>
        <v>19974.8</v>
      </c>
      <c r="AC22" s="358">
        <f t="shared" si="9"/>
        <v>20014.8</v>
      </c>
      <c r="AD22" s="174">
        <v>3</v>
      </c>
      <c r="AE22" s="388"/>
      <c r="AF22" s="352">
        <f t="shared" si="10"/>
        <v>1.1200000000000001</v>
      </c>
      <c r="AG22" s="353">
        <f t="shared" si="11"/>
        <v>0</v>
      </c>
      <c r="AH22" s="395"/>
      <c r="AI22" s="398">
        <v>3</v>
      </c>
      <c r="AJ22" s="399">
        <f>COUNTIFS('Данные из терминала'!C:C,AI22,'Данные из терминала'!B:B,"sell")</f>
        <v>0</v>
      </c>
      <c r="AK22" s="400">
        <f>COUNTIFS('Данные из терминала'!C:C,AI22,'Данные из терминала'!B:B,"buy")</f>
        <v>0</v>
      </c>
      <c r="AL22" s="401">
        <f>COUNTIFS('Данные из терминала'!C:C,AI22)</f>
        <v>0</v>
      </c>
      <c r="AM22" s="399">
        <f>SUMIFS('Данные из терминала'!E:E,'Данные из терминала'!C:C,AI22,'Данные из терминала'!B:B,"sell")</f>
        <v>0</v>
      </c>
      <c r="AN22" s="400">
        <f>SUMIFS('Данные из терминала'!E:E,'Данные из терминала'!C:C,AI22,'Данные из терминала'!B:B,"buy")</f>
        <v>0</v>
      </c>
      <c r="AO22" s="401">
        <f>SUMIFS('Данные из терминала'!E:E,'Данные из терминала'!C:C,AI22)</f>
        <v>0</v>
      </c>
      <c r="AP22" s="399">
        <f>SUMIFS('Данные из терминала'!N:N,'Данные из терминала'!C:C,AI22,'Данные из терминала'!B:B,"sell")</f>
        <v>0</v>
      </c>
      <c r="AQ22" s="400">
        <f>SUMIFS('Данные из терминала'!N:N,'Данные из терминала'!C:C,AI22,'Данные из терминала'!B:B,"buy")</f>
        <v>0</v>
      </c>
      <c r="AR22" s="401">
        <f>SUMIFS('Данные из терминала'!N:N,'Данные из терминала'!C:C,AI22)</f>
        <v>0</v>
      </c>
      <c r="AS22" s="399">
        <f>ROUND(IF(AJ22&gt;0,AVERAGEIFS('Данные из терминала'!N:N,'Данные из терминала'!C:C,AI22,'Данные из терминала'!B:B,"sell"),0),2)</f>
        <v>0</v>
      </c>
      <c r="AT22" s="400">
        <f>ROUND(IF(AK22&gt;0,AVERAGEIFS('Данные из терминала'!N:N,'Данные из терминала'!C:C,AI22,'Данные из терминала'!B:B,"buy"),0),2)</f>
        <v>0</v>
      </c>
      <c r="AU22" s="401">
        <f>ROUND(IF(AL22&gt;0,AVERAGEIFS('Данные из терминала'!N:N,'Данные из терминала'!C:C,AI22),0),2)</f>
        <v>0</v>
      </c>
      <c r="AV22" s="402">
        <f t="shared" si="20"/>
        <v>0</v>
      </c>
      <c r="AW22" s="403">
        <f t="shared" si="21"/>
        <v>0</v>
      </c>
      <c r="AX22" s="404">
        <f t="shared" si="22"/>
        <v>0</v>
      </c>
      <c r="AY22" s="399">
        <f>IF(AJ22&gt;0,VLOOKUP(AI22,Сводная!A:E,5,0),0)</f>
        <v>0</v>
      </c>
      <c r="AZ22" s="401">
        <f>IF(AK22&gt;0,VLOOKUP(AI22,Сводная!A:B,2,0),0)</f>
        <v>0</v>
      </c>
      <c r="BA22" s="399">
        <f>ROUND(IF(AJ22&gt;0,AVERAGEIFS('Данные из терминала'!L:L,'Данные из терминала'!C:C,AI22,'Данные из терминала'!B:B,"sell"),0),1)</f>
        <v>0</v>
      </c>
      <c r="BB22" s="400">
        <f>ROUND(IF(AK22&gt;0,AVERAGEIFS('Данные из терминала'!L:L,'Данные из терминала'!C:C,AI22,'Данные из терминала'!B:B,"buy"),0),1)</f>
        <v>0</v>
      </c>
      <c r="BC22" s="401">
        <f>ROUND(IF(AL22&gt;0,AVERAGEIFS('Данные из терминала'!L:L,'Данные из терминала'!C:C,AI22),0),1)</f>
        <v>0</v>
      </c>
      <c r="BD22" s="399">
        <f>IF(AJ22&gt;0,VLOOKUP(AI22,Сводная!A:F,6,0),0)</f>
        <v>0</v>
      </c>
      <c r="BE22" s="401">
        <f>IF(AK22&gt;0,VLOOKUP(AI22,Сводная!A:C,3,0),0)</f>
        <v>0</v>
      </c>
      <c r="BF22" s="399">
        <f>ROUND(IF(AJ22&gt;0,AVERAGEIFS('Данные из терминала'!M:M,'Данные из терминала'!C:C,AI22,'Данные из терминала'!B:B,"sell"),0),1)</f>
        <v>0</v>
      </c>
      <c r="BG22" s="400">
        <f>ROUND(IF(AK22&gt;0,AVERAGEIFS('Данные из терминала'!M:M,'Данные из терминала'!C:C,AI22,'Данные из терминала'!B:B,"buy"),0),1)</f>
        <v>0</v>
      </c>
      <c r="BH22" s="401">
        <f>ROUND(IF(AL22&gt;0,AVERAGEIFS('Данные из терминала'!M:M,'Данные из терминала'!C:C,AI22),0),1)</f>
        <v>0</v>
      </c>
      <c r="BI22" s="405">
        <f>IF(AJ22&gt;0,VLOOKUP(AI22,Сводная!A:G,7,0),0)</f>
        <v>0</v>
      </c>
      <c r="BJ22" s="406">
        <f>IF(AK22&gt;0,VLOOKUP(AI22,Сводная!A:D,4,0),0)</f>
        <v>0</v>
      </c>
      <c r="BK22" s="405">
        <f>IF(AJ22&gt;0,AVERAGEIFS('Данные из терминала'!O:O,'Данные из терминала'!C:C,AI22,'Данные из терминала'!B:B,"sell"),0)</f>
        <v>0</v>
      </c>
      <c r="BL22" s="407">
        <f>IF(AK22&gt;0,AVERAGEIFS('Данные из терминала'!O:O,'Данные из терминала'!C:C,AI22,'Данные из терминала'!B:B,"buy"),0)</f>
        <v>0</v>
      </c>
      <c r="BM22" s="406">
        <f>IF(AL22&gt;0,AVERAGEIFS('Данные из терминала'!O:O,'Данные из терминала'!C:C,AI22),0)</f>
        <v>0</v>
      </c>
      <c r="BO22" s="229"/>
    </row>
    <row r="23" spans="1:67" ht="15" x14ac:dyDescent="0.25">
      <c r="A23" s="165">
        <v>4</v>
      </c>
      <c r="B23" s="107">
        <f t="shared" si="12"/>
        <v>0</v>
      </c>
      <c r="C23" s="112">
        <f t="shared" si="13"/>
        <v>2</v>
      </c>
      <c r="D23" s="76"/>
      <c r="E23" s="107">
        <f t="shared" si="14"/>
        <v>0</v>
      </c>
      <c r="F23" s="105">
        <f t="shared" ref="F23:F39" si="27">F22+E23</f>
        <v>20</v>
      </c>
      <c r="G23" s="100">
        <f t="shared" si="15"/>
        <v>60</v>
      </c>
      <c r="H23" s="11"/>
      <c r="I23" s="7">
        <f t="shared" si="16"/>
        <v>1</v>
      </c>
      <c r="J23" s="110">
        <f t="shared" si="0"/>
        <v>0.01</v>
      </c>
      <c r="K23" s="8">
        <f t="shared" si="23"/>
        <v>0.04</v>
      </c>
      <c r="L23" s="157"/>
      <c r="M23" s="162">
        <f t="shared" si="1"/>
        <v>0.56000000000000005</v>
      </c>
      <c r="N23" s="311">
        <f t="shared" si="2"/>
        <v>9.3333333333333343E-5</v>
      </c>
      <c r="O23" s="159">
        <f t="shared" si="3"/>
        <v>0.4</v>
      </c>
      <c r="P23" s="212">
        <f t="shared" si="17"/>
        <v>12.24</v>
      </c>
      <c r="Q23" s="225">
        <f t="shared" si="4"/>
        <v>2.0400000000000001E-3</v>
      </c>
      <c r="R23" s="119">
        <f t="shared" si="24"/>
        <v>31</v>
      </c>
      <c r="S23" s="120">
        <f t="shared" si="25"/>
        <v>0.52</v>
      </c>
      <c r="T23" s="126">
        <f t="shared" si="18"/>
        <v>33</v>
      </c>
      <c r="U23" s="127">
        <f t="shared" si="26"/>
        <v>0.55000000000000004</v>
      </c>
      <c r="V23" s="385"/>
      <c r="W23" s="350">
        <f t="shared" si="5"/>
        <v>9.1999999999999993</v>
      </c>
      <c r="X23" s="351">
        <f t="shared" si="19"/>
        <v>21.44</v>
      </c>
      <c r="Y23" s="354"/>
      <c r="Z23" s="355">
        <f t="shared" si="6"/>
        <v>5978.56</v>
      </c>
      <c r="AA23" s="356">
        <f t="shared" si="7"/>
        <v>0</v>
      </c>
      <c r="AB23" s="357">
        <f t="shared" si="8"/>
        <v>14964.8</v>
      </c>
      <c r="AC23" s="358">
        <f t="shared" si="9"/>
        <v>15024.8</v>
      </c>
      <c r="AD23" s="174">
        <v>4</v>
      </c>
      <c r="AE23" s="388"/>
      <c r="AF23" s="352">
        <f t="shared" si="10"/>
        <v>0.75</v>
      </c>
      <c r="AG23" s="353">
        <f t="shared" si="11"/>
        <v>0</v>
      </c>
      <c r="AH23" s="395"/>
      <c r="AI23" s="398">
        <v>4</v>
      </c>
      <c r="AJ23" s="399">
        <f>COUNTIFS('Данные из терминала'!C:C,AI23,'Данные из терминала'!B:B,"sell")</f>
        <v>0</v>
      </c>
      <c r="AK23" s="400">
        <f>COUNTIFS('Данные из терминала'!C:C,AI23,'Данные из терминала'!B:B,"buy")</f>
        <v>0</v>
      </c>
      <c r="AL23" s="401">
        <f>COUNTIFS('Данные из терминала'!C:C,AI23)</f>
        <v>0</v>
      </c>
      <c r="AM23" s="399">
        <f>SUMIFS('Данные из терминала'!E:E,'Данные из терминала'!C:C,AI23,'Данные из терминала'!B:B,"sell")</f>
        <v>0</v>
      </c>
      <c r="AN23" s="400">
        <f>SUMIFS('Данные из терминала'!E:E,'Данные из терминала'!C:C,AI23,'Данные из терминала'!B:B,"buy")</f>
        <v>0</v>
      </c>
      <c r="AO23" s="401">
        <f>SUMIFS('Данные из терминала'!E:E,'Данные из терминала'!C:C,AI23)</f>
        <v>0</v>
      </c>
      <c r="AP23" s="399">
        <f>SUMIFS('Данные из терминала'!N:N,'Данные из терминала'!C:C,AI23,'Данные из терминала'!B:B,"sell")</f>
        <v>0</v>
      </c>
      <c r="AQ23" s="400">
        <f>SUMIFS('Данные из терминала'!N:N,'Данные из терминала'!C:C,AI23,'Данные из терминала'!B:B,"buy")</f>
        <v>0</v>
      </c>
      <c r="AR23" s="401">
        <f>SUMIFS('Данные из терминала'!N:N,'Данные из терминала'!C:C,AI23)</f>
        <v>0</v>
      </c>
      <c r="AS23" s="399">
        <f>ROUND(IF(AJ23&gt;0,AVERAGEIFS('Данные из терминала'!N:N,'Данные из терминала'!C:C,AI23,'Данные из терминала'!B:B,"sell"),0),2)</f>
        <v>0</v>
      </c>
      <c r="AT23" s="400">
        <f>ROUND(IF(AK23&gt;0,AVERAGEIFS('Данные из терминала'!N:N,'Данные из терминала'!C:C,AI23,'Данные из терминала'!B:B,"buy"),0),2)</f>
        <v>0</v>
      </c>
      <c r="AU23" s="401">
        <f>ROUND(IF(AL23&gt;0,AVERAGEIFS('Данные из терминала'!N:N,'Данные из терминала'!C:C,AI23),0),2)</f>
        <v>0</v>
      </c>
      <c r="AV23" s="402">
        <f t="shared" si="20"/>
        <v>0</v>
      </c>
      <c r="AW23" s="403">
        <f t="shared" si="21"/>
        <v>0</v>
      </c>
      <c r="AX23" s="404">
        <f t="shared" si="22"/>
        <v>0</v>
      </c>
      <c r="AY23" s="399">
        <f>IF(AJ23&gt;0,VLOOKUP(AI23,Сводная!A:E,5,0),0)</f>
        <v>0</v>
      </c>
      <c r="AZ23" s="401">
        <f>IF(AK23&gt;0,VLOOKUP(AI23,Сводная!A:B,2,0),0)</f>
        <v>0</v>
      </c>
      <c r="BA23" s="399">
        <f>ROUND(IF(AJ23&gt;0,AVERAGEIFS('Данные из терминала'!L:L,'Данные из терминала'!C:C,AI23,'Данные из терминала'!B:B,"sell"),0),1)</f>
        <v>0</v>
      </c>
      <c r="BB23" s="400">
        <f>ROUND(IF(AK23&gt;0,AVERAGEIFS('Данные из терминала'!L:L,'Данные из терминала'!C:C,AI23,'Данные из терминала'!B:B,"buy"),0),1)</f>
        <v>0</v>
      </c>
      <c r="BC23" s="401">
        <f>ROUND(IF(AL23&gt;0,AVERAGEIFS('Данные из терминала'!L:L,'Данные из терминала'!C:C,AI23),0),1)</f>
        <v>0</v>
      </c>
      <c r="BD23" s="399">
        <f>IF(AJ23&gt;0,VLOOKUP(AI23,Сводная!A:F,6,0),0)</f>
        <v>0</v>
      </c>
      <c r="BE23" s="401">
        <f>IF(AK23&gt;0,VLOOKUP(AI23,Сводная!A:C,3,0),0)</f>
        <v>0</v>
      </c>
      <c r="BF23" s="399">
        <f>ROUND(IF(AJ23&gt;0,AVERAGEIFS('Данные из терминала'!M:M,'Данные из терминала'!C:C,AI23,'Данные из терминала'!B:B,"sell"),0),1)</f>
        <v>0</v>
      </c>
      <c r="BG23" s="400">
        <f>ROUND(IF(AK23&gt;0,AVERAGEIFS('Данные из терминала'!M:M,'Данные из терминала'!C:C,AI23,'Данные из терминала'!B:B,"buy"),0),1)</f>
        <v>0</v>
      </c>
      <c r="BH23" s="401">
        <f>ROUND(IF(AL23&gt;0,AVERAGEIFS('Данные из терминала'!M:M,'Данные из терминала'!C:C,AI23),0),1)</f>
        <v>0</v>
      </c>
      <c r="BI23" s="405">
        <f>IF(AJ23&gt;0,VLOOKUP(AI23,Сводная!A:G,7,0),0)</f>
        <v>0</v>
      </c>
      <c r="BJ23" s="406">
        <f>IF(AK23&gt;0,VLOOKUP(AI23,Сводная!A:D,4,0),0)</f>
        <v>0</v>
      </c>
      <c r="BK23" s="405">
        <f>IF(AJ23&gt;0,AVERAGEIFS('Данные из терминала'!O:O,'Данные из терминала'!C:C,AI23,'Данные из терминала'!B:B,"sell"),0)</f>
        <v>0</v>
      </c>
      <c r="BL23" s="407">
        <f>IF(AK23&gt;0,AVERAGEIFS('Данные из терминала'!O:O,'Данные из терминала'!C:C,AI23,'Данные из терминала'!B:B,"buy"),0)</f>
        <v>0</v>
      </c>
      <c r="BM23" s="406">
        <f>IF(AL23&gt;0,AVERAGEIFS('Данные из терминала'!O:O,'Данные из терминала'!C:C,AI23),0)</f>
        <v>0</v>
      </c>
      <c r="BO23" s="229"/>
    </row>
    <row r="24" spans="1:67" ht="15" x14ac:dyDescent="0.25">
      <c r="A24" s="165">
        <v>5</v>
      </c>
      <c r="B24" s="108">
        <f t="shared" si="12"/>
        <v>0</v>
      </c>
      <c r="C24" s="102">
        <f t="shared" si="13"/>
        <v>2</v>
      </c>
      <c r="D24" s="9"/>
      <c r="E24" s="108">
        <f t="shared" si="14"/>
        <v>0</v>
      </c>
      <c r="F24" s="101">
        <f t="shared" si="27"/>
        <v>20</v>
      </c>
      <c r="G24" s="102">
        <f t="shared" si="15"/>
        <v>80</v>
      </c>
      <c r="H24" s="9"/>
      <c r="I24" s="13">
        <f t="shared" si="16"/>
        <v>1</v>
      </c>
      <c r="J24" s="14">
        <f t="shared" si="0"/>
        <v>0.01</v>
      </c>
      <c r="K24" s="15">
        <f t="shared" si="23"/>
        <v>0.05</v>
      </c>
      <c r="L24" s="157"/>
      <c r="M24" s="163">
        <f t="shared" si="1"/>
        <v>0.7</v>
      </c>
      <c r="N24" s="312">
        <f t="shared" si="2"/>
        <v>1.1666666666666667E-4</v>
      </c>
      <c r="O24" s="160">
        <f t="shared" si="3"/>
        <v>0.5</v>
      </c>
      <c r="P24" s="213">
        <f t="shared" si="17"/>
        <v>20.3</v>
      </c>
      <c r="Q24" s="224">
        <f t="shared" si="4"/>
        <v>3.3833333333333332E-3</v>
      </c>
      <c r="R24" s="121">
        <f t="shared" si="24"/>
        <v>41</v>
      </c>
      <c r="S24" s="122">
        <f t="shared" si="25"/>
        <v>0.51</v>
      </c>
      <c r="T24" s="132">
        <f t="shared" si="18"/>
        <v>43</v>
      </c>
      <c r="U24" s="122">
        <f t="shared" si="26"/>
        <v>0.54</v>
      </c>
      <c r="V24" s="385"/>
      <c r="W24" s="359">
        <f t="shared" si="5"/>
        <v>11.5</v>
      </c>
      <c r="X24" s="360">
        <f t="shared" si="19"/>
        <v>31.8</v>
      </c>
      <c r="Y24" s="354"/>
      <c r="Z24" s="363">
        <f t="shared" si="6"/>
        <v>5968.2</v>
      </c>
      <c r="AA24" s="364">
        <f t="shared" si="7"/>
        <v>0.01</v>
      </c>
      <c r="AB24" s="365">
        <f t="shared" si="8"/>
        <v>11954.8</v>
      </c>
      <c r="AC24" s="366">
        <f t="shared" si="9"/>
        <v>12034.8</v>
      </c>
      <c r="AD24" s="174">
        <v>5</v>
      </c>
      <c r="AE24" s="388"/>
      <c r="AF24" s="361">
        <f t="shared" si="10"/>
        <v>0.56999999999999995</v>
      </c>
      <c r="AG24" s="362">
        <f t="shared" si="11"/>
        <v>0</v>
      </c>
      <c r="AH24" s="395"/>
      <c r="AI24" s="174">
        <v>5</v>
      </c>
      <c r="AJ24" s="453">
        <f>COUNTIFS('Данные из терминала'!C:C,AI24,'Данные из терминала'!B:B,"sell")</f>
        <v>0</v>
      </c>
      <c r="AK24" s="409">
        <f>COUNTIFS('Данные из терминала'!C:C,AI24,'Данные из терминала'!B:B,"buy")</f>
        <v>0</v>
      </c>
      <c r="AL24" s="410">
        <f>COUNTIFS('Данные из терминала'!C:C,AI24)</f>
        <v>0</v>
      </c>
      <c r="AM24" s="453">
        <f>SUMIFS('Данные из терминала'!E:E,'Данные из терминала'!C:C,AI24,'Данные из терминала'!B:B,"sell")</f>
        <v>0</v>
      </c>
      <c r="AN24" s="409">
        <f>SUMIFS('Данные из терминала'!E:E,'Данные из терминала'!C:C,AI24,'Данные из терминала'!B:B,"buy")</f>
        <v>0</v>
      </c>
      <c r="AO24" s="410">
        <f>SUMIFS('Данные из терминала'!E:E,'Данные из терминала'!C:C,AI24)</f>
        <v>0</v>
      </c>
      <c r="AP24" s="453">
        <f>SUMIFS('Данные из терминала'!N:N,'Данные из терминала'!C:C,AI24,'Данные из терминала'!B:B,"sell")</f>
        <v>0</v>
      </c>
      <c r="AQ24" s="409">
        <f>SUMIFS('Данные из терминала'!N:N,'Данные из терминала'!C:C,AI24,'Данные из терминала'!B:B,"buy")</f>
        <v>0</v>
      </c>
      <c r="AR24" s="410">
        <f>SUMIFS('Данные из терминала'!N:N,'Данные из терминала'!C:C,AI24)</f>
        <v>0</v>
      </c>
      <c r="AS24" s="453">
        <f>ROUND(IF(AJ24&gt;0,AVERAGEIFS('Данные из терминала'!N:N,'Данные из терминала'!C:C,AI24,'Данные из терминала'!B:B,"sell"),0),2)</f>
        <v>0</v>
      </c>
      <c r="AT24" s="409">
        <f>ROUND(IF(AK24&gt;0,AVERAGEIFS('Данные из терминала'!N:N,'Данные из терминала'!C:C,AI24,'Данные из терминала'!B:B,"buy"),0),2)</f>
        <v>0</v>
      </c>
      <c r="AU24" s="410">
        <f>ROUND(IF(AL24&gt;0,AVERAGEIFS('Данные из терминала'!N:N,'Данные из терминала'!C:C,AI24),0),2)</f>
        <v>0</v>
      </c>
      <c r="AV24" s="454">
        <f t="shared" si="20"/>
        <v>0</v>
      </c>
      <c r="AW24" s="411">
        <f t="shared" si="21"/>
        <v>0</v>
      </c>
      <c r="AX24" s="458">
        <f t="shared" si="22"/>
        <v>0</v>
      </c>
      <c r="AY24" s="459">
        <f>IF(AJ24&gt;0,VLOOKUP(AI24,Сводная!A:E,5,0),0)</f>
        <v>0</v>
      </c>
      <c r="AZ24" s="410">
        <f>IF(AK24&gt;0,VLOOKUP(AI24,Сводная!A:B,2,0),0)</f>
        <v>0</v>
      </c>
      <c r="BA24" s="453">
        <f>ROUND(IF(AJ24&gt;0,AVERAGEIFS('Данные из терминала'!L:L,'Данные из терминала'!C:C,AI24,'Данные из терминала'!B:B,"sell"),0),1)</f>
        <v>0</v>
      </c>
      <c r="BB24" s="409">
        <f>ROUND(IF(AK24&gt;0,AVERAGEIFS('Данные из терминала'!L:L,'Данные из терминала'!C:C,AI24,'Данные из терминала'!B:B,"buy"),0),1)</f>
        <v>0</v>
      </c>
      <c r="BC24" s="460">
        <f>ROUND(IF(AL24&gt;0,AVERAGEIFS('Данные из терминала'!L:L,'Данные из терминала'!C:C,AI24),0),1)</f>
        <v>0</v>
      </c>
      <c r="BD24" s="459">
        <f>IF(AJ24&gt;0,VLOOKUP(AI24,Сводная!A:F,6,0),0)</f>
        <v>0</v>
      </c>
      <c r="BE24" s="410">
        <f>IF(AK24&gt;0,VLOOKUP(AI24,Сводная!A:C,3,0),0)</f>
        <v>0</v>
      </c>
      <c r="BF24" s="453">
        <f>ROUND(IF(AJ24&gt;0,AVERAGEIFS('Данные из терминала'!M:M,'Данные из терминала'!C:C,AI24,'Данные из терминала'!B:B,"sell"),0),1)</f>
        <v>0</v>
      </c>
      <c r="BG24" s="409">
        <f>ROUND(IF(AK24&gt;0,AVERAGEIFS('Данные из терминала'!M:M,'Данные из терминала'!C:C,AI24,'Данные из терминала'!B:B,"buy"),0),1)</f>
        <v>0</v>
      </c>
      <c r="BH24" s="460">
        <f>ROUND(IF(AL24&gt;0,AVERAGEIFS('Данные из терминала'!M:M,'Данные из терминала'!C:C,AI24),0),1)</f>
        <v>0</v>
      </c>
      <c r="BI24" s="461">
        <f>IF(AJ24&gt;0,VLOOKUP(AI24,Сводная!A:G,7,0),0)</f>
        <v>0</v>
      </c>
      <c r="BJ24" s="413">
        <f>IF(AK24&gt;0,VLOOKUP(AI24,Сводная!A:D,4,0),0)</f>
        <v>0</v>
      </c>
      <c r="BK24" s="462">
        <f>IF(AJ24&gt;0,AVERAGEIFS('Данные из терминала'!O:O,'Данные из терминала'!C:C,AI24,'Данные из терминала'!B:B,"sell"),0)</f>
        <v>0</v>
      </c>
      <c r="BL24" s="414">
        <f>IF(AK24&gt;0,AVERAGEIFS('Данные из терминала'!O:O,'Данные из терминала'!C:C,AI24,'Данные из терминала'!B:B,"buy"),0)</f>
        <v>0</v>
      </c>
      <c r="BM24" s="413">
        <f>IF(AL24&gt;0,AVERAGEIFS('Данные из терминала'!O:O,'Данные из терминала'!C:C,AI24),0)</f>
        <v>0</v>
      </c>
      <c r="BO24" s="229"/>
    </row>
    <row r="25" spans="1:67" ht="15" x14ac:dyDescent="0.25">
      <c r="A25" s="165">
        <v>6</v>
      </c>
      <c r="B25" s="107">
        <f t="shared" si="12"/>
        <v>0</v>
      </c>
      <c r="C25" s="112">
        <f t="shared" si="13"/>
        <v>2</v>
      </c>
      <c r="D25" s="76"/>
      <c r="E25" s="107">
        <f t="shared" si="14"/>
        <v>0</v>
      </c>
      <c r="F25" s="105">
        <f t="shared" si="27"/>
        <v>20</v>
      </c>
      <c r="G25" s="100">
        <f t="shared" si="15"/>
        <v>100</v>
      </c>
      <c r="H25" s="11"/>
      <c r="I25" s="7">
        <f t="shared" si="16"/>
        <v>1</v>
      </c>
      <c r="J25" s="110">
        <f t="shared" si="0"/>
        <v>0.01</v>
      </c>
      <c r="K25" s="8">
        <f t="shared" si="23"/>
        <v>6.0000000000000005E-2</v>
      </c>
      <c r="L25" s="157"/>
      <c r="M25" s="162">
        <f t="shared" si="1"/>
        <v>0.84</v>
      </c>
      <c r="N25" s="311">
        <f t="shared" si="2"/>
        <v>1.3999999999999999E-4</v>
      </c>
      <c r="O25" s="159">
        <f t="shared" si="3"/>
        <v>0.6</v>
      </c>
      <c r="P25" s="212">
        <f t="shared" si="17"/>
        <v>30.36</v>
      </c>
      <c r="Q25" s="225">
        <f t="shared" si="4"/>
        <v>5.0600000000000003E-3</v>
      </c>
      <c r="R25" s="119">
        <f t="shared" si="24"/>
        <v>51</v>
      </c>
      <c r="S25" s="120">
        <f t="shared" si="25"/>
        <v>0.51</v>
      </c>
      <c r="T25" s="126">
        <f t="shared" si="18"/>
        <v>53</v>
      </c>
      <c r="U25" s="127">
        <f t="shared" si="26"/>
        <v>0.53</v>
      </c>
      <c r="V25" s="385"/>
      <c r="W25" s="350">
        <f t="shared" si="5"/>
        <v>13.8</v>
      </c>
      <c r="X25" s="351">
        <f t="shared" si="19"/>
        <v>44.16</v>
      </c>
      <c r="Y25" s="354"/>
      <c r="Z25" s="355">
        <f t="shared" si="6"/>
        <v>5955.84</v>
      </c>
      <c r="AA25" s="356">
        <f t="shared" si="7"/>
        <v>0.01</v>
      </c>
      <c r="AB25" s="357">
        <f t="shared" si="8"/>
        <v>9944.8000000000011</v>
      </c>
      <c r="AC25" s="358">
        <f t="shared" si="9"/>
        <v>10044.800000000001</v>
      </c>
      <c r="AD25" s="174">
        <v>6</v>
      </c>
      <c r="AE25" s="388"/>
      <c r="AF25" s="352">
        <f t="shared" si="10"/>
        <v>0.45</v>
      </c>
      <c r="AG25" s="353">
        <f t="shared" si="11"/>
        <v>0</v>
      </c>
      <c r="AH25" s="395"/>
      <c r="AI25" s="398">
        <v>6</v>
      </c>
      <c r="AJ25" s="399">
        <f>COUNTIFS('Данные из терминала'!C:C,AI25,'Данные из терминала'!B:B,"sell")</f>
        <v>0</v>
      </c>
      <c r="AK25" s="400">
        <f>COUNTIFS('Данные из терминала'!C:C,AI25,'Данные из терминала'!B:B,"buy")</f>
        <v>0</v>
      </c>
      <c r="AL25" s="401">
        <f>COUNTIFS('Данные из терминала'!C:C,AI25)</f>
        <v>0</v>
      </c>
      <c r="AM25" s="399">
        <f>SUMIFS('Данные из терминала'!E:E,'Данные из терминала'!C:C,AI25,'Данные из терминала'!B:B,"sell")</f>
        <v>0</v>
      </c>
      <c r="AN25" s="400">
        <f>SUMIFS('Данные из терминала'!E:E,'Данные из терминала'!C:C,AI25,'Данные из терминала'!B:B,"buy")</f>
        <v>0</v>
      </c>
      <c r="AO25" s="401">
        <f>SUMIFS('Данные из терминала'!E:E,'Данные из терминала'!C:C,AI25)</f>
        <v>0</v>
      </c>
      <c r="AP25" s="399">
        <f>SUMIFS('Данные из терминала'!N:N,'Данные из терминала'!C:C,AI25,'Данные из терминала'!B:B,"sell")</f>
        <v>0</v>
      </c>
      <c r="AQ25" s="400">
        <f>SUMIFS('Данные из терминала'!N:N,'Данные из терминала'!C:C,AI25,'Данные из терминала'!B:B,"buy")</f>
        <v>0</v>
      </c>
      <c r="AR25" s="401">
        <f>SUMIFS('Данные из терминала'!N:N,'Данные из терминала'!C:C,AI25)</f>
        <v>0</v>
      </c>
      <c r="AS25" s="399">
        <f>ROUND(IF(AJ25&gt;0,AVERAGEIFS('Данные из терминала'!N:N,'Данные из терминала'!C:C,AI25,'Данные из терминала'!B:B,"sell"),0),2)</f>
        <v>0</v>
      </c>
      <c r="AT25" s="400">
        <f>ROUND(IF(AK25&gt;0,AVERAGEIFS('Данные из терминала'!N:N,'Данные из терминала'!C:C,AI25,'Данные из терминала'!B:B,"buy"),0),2)</f>
        <v>0</v>
      </c>
      <c r="AU25" s="401">
        <f>ROUND(IF(AL25&gt;0,AVERAGEIFS('Данные из терминала'!N:N,'Данные из терминала'!C:C,AI25),0),2)</f>
        <v>0</v>
      </c>
      <c r="AV25" s="402">
        <f t="shared" si="20"/>
        <v>0</v>
      </c>
      <c r="AW25" s="403">
        <f t="shared" si="21"/>
        <v>0</v>
      </c>
      <c r="AX25" s="404">
        <f t="shared" si="22"/>
        <v>0</v>
      </c>
      <c r="AY25" s="399">
        <f>IF(AJ25&gt;0,VLOOKUP(AI25,Сводная!A:E,5,0),0)</f>
        <v>0</v>
      </c>
      <c r="AZ25" s="401">
        <f>IF(AK25&gt;0,VLOOKUP(AI25,Сводная!A:B,2,0),0)</f>
        <v>0</v>
      </c>
      <c r="BA25" s="399">
        <f>ROUND(IF(AJ25&gt;0,AVERAGEIFS('Данные из терминала'!L:L,'Данные из терминала'!C:C,AI25,'Данные из терминала'!B:B,"sell"),0),1)</f>
        <v>0</v>
      </c>
      <c r="BB25" s="400">
        <f>ROUND(IF(AK25&gt;0,AVERAGEIFS('Данные из терминала'!L:L,'Данные из терминала'!C:C,AI25,'Данные из терминала'!B:B,"buy"),0),1)</f>
        <v>0</v>
      </c>
      <c r="BC25" s="401">
        <f>ROUND(IF(AL25&gt;0,AVERAGEIFS('Данные из терминала'!L:L,'Данные из терминала'!C:C,AI25),0),1)</f>
        <v>0</v>
      </c>
      <c r="BD25" s="399">
        <f>IF(AJ25&gt;0,VLOOKUP(AI25,Сводная!A:F,6,0),0)</f>
        <v>0</v>
      </c>
      <c r="BE25" s="401">
        <f>IF(AK25&gt;0,VLOOKUP(AI25,Сводная!A:C,3,0),0)</f>
        <v>0</v>
      </c>
      <c r="BF25" s="399">
        <f>ROUND(IF(AJ25&gt;0,AVERAGEIFS('Данные из терминала'!M:M,'Данные из терминала'!C:C,AI25,'Данные из терминала'!B:B,"sell"),0),1)</f>
        <v>0</v>
      </c>
      <c r="BG25" s="400">
        <f>ROUND(IF(AK25&gt;0,AVERAGEIFS('Данные из терминала'!M:M,'Данные из терминала'!C:C,AI25,'Данные из терминала'!B:B,"buy"),0),1)</f>
        <v>0</v>
      </c>
      <c r="BH25" s="401">
        <f>ROUND(IF(AL25&gt;0,AVERAGEIFS('Данные из терминала'!M:M,'Данные из терминала'!C:C,AI25),0),1)</f>
        <v>0</v>
      </c>
      <c r="BI25" s="405">
        <f>IF(AJ25&gt;0,VLOOKUP(AI25,Сводная!A:G,7,0),0)</f>
        <v>0</v>
      </c>
      <c r="BJ25" s="406">
        <f>IF(AK25&gt;0,VLOOKUP(AI25,Сводная!A:D,4,0),0)</f>
        <v>0</v>
      </c>
      <c r="BK25" s="405">
        <f>IF(AJ25&gt;0,AVERAGEIFS('Данные из терминала'!O:O,'Данные из терминала'!C:C,AI25,'Данные из терминала'!B:B,"sell"),0)</f>
        <v>0</v>
      </c>
      <c r="BL25" s="407">
        <f>IF(AK25&gt;0,AVERAGEIFS('Данные из терминала'!O:O,'Данные из терминала'!C:C,AI25,'Данные из терминала'!B:B,"buy"),0)</f>
        <v>0</v>
      </c>
      <c r="BM25" s="406">
        <f>IF(AL25&gt;0,AVERAGEIFS('Данные из терминала'!O:O,'Данные из терминала'!C:C,AI25),0)</f>
        <v>0</v>
      </c>
      <c r="BO25" s="229"/>
    </row>
    <row r="26" spans="1:67" ht="15" x14ac:dyDescent="0.25">
      <c r="A26" s="165">
        <v>7</v>
      </c>
      <c r="B26" s="107">
        <f t="shared" si="12"/>
        <v>0</v>
      </c>
      <c r="C26" s="112">
        <f t="shared" si="13"/>
        <v>2</v>
      </c>
      <c r="D26" s="76"/>
      <c r="E26" s="107">
        <f t="shared" si="14"/>
        <v>0</v>
      </c>
      <c r="F26" s="105">
        <f t="shared" si="27"/>
        <v>20</v>
      </c>
      <c r="G26" s="100">
        <f t="shared" si="15"/>
        <v>120</v>
      </c>
      <c r="H26" s="11"/>
      <c r="I26" s="7">
        <f t="shared" si="16"/>
        <v>1</v>
      </c>
      <c r="J26" s="110">
        <f t="shared" si="0"/>
        <v>0.01</v>
      </c>
      <c r="K26" s="8">
        <f t="shared" si="23"/>
        <v>7.0000000000000007E-2</v>
      </c>
      <c r="L26" s="157"/>
      <c r="M26" s="162">
        <f t="shared" si="1"/>
        <v>0.98</v>
      </c>
      <c r="N26" s="311">
        <f t="shared" si="2"/>
        <v>1.6333333333333334E-4</v>
      </c>
      <c r="O26" s="159">
        <f t="shared" si="3"/>
        <v>0.7</v>
      </c>
      <c r="P26" s="212">
        <f t="shared" si="17"/>
        <v>42.42</v>
      </c>
      <c r="Q26" s="225">
        <f t="shared" si="4"/>
        <v>7.0699999999999999E-3</v>
      </c>
      <c r="R26" s="119">
        <f t="shared" si="24"/>
        <v>61</v>
      </c>
      <c r="S26" s="120">
        <f t="shared" si="25"/>
        <v>0.51</v>
      </c>
      <c r="T26" s="126">
        <f t="shared" si="18"/>
        <v>63</v>
      </c>
      <c r="U26" s="127">
        <f t="shared" si="26"/>
        <v>0.53</v>
      </c>
      <c r="V26" s="385"/>
      <c r="W26" s="350">
        <f t="shared" si="5"/>
        <v>16.100000000000001</v>
      </c>
      <c r="X26" s="351">
        <f t="shared" si="19"/>
        <v>58.52</v>
      </c>
      <c r="Y26" s="354"/>
      <c r="Z26" s="355">
        <f t="shared" si="6"/>
        <v>5941.48</v>
      </c>
      <c r="AA26" s="356">
        <f t="shared" si="7"/>
        <v>0.01</v>
      </c>
      <c r="AB26" s="357">
        <f t="shared" si="8"/>
        <v>8506.2285714285717</v>
      </c>
      <c r="AC26" s="358">
        <f t="shared" si="9"/>
        <v>8626.2285714285717</v>
      </c>
      <c r="AD26" s="174">
        <v>7</v>
      </c>
      <c r="AE26" s="388"/>
      <c r="AF26" s="352">
        <f t="shared" si="10"/>
        <v>0.38</v>
      </c>
      <c r="AG26" s="353">
        <f t="shared" si="11"/>
        <v>0</v>
      </c>
      <c r="AH26" s="395"/>
      <c r="AI26" s="398">
        <v>7</v>
      </c>
      <c r="AJ26" s="399">
        <f>COUNTIFS('Данные из терминала'!C:C,AI26,'Данные из терминала'!B:B,"sell")</f>
        <v>0</v>
      </c>
      <c r="AK26" s="400">
        <f>COUNTIFS('Данные из терминала'!C:C,AI26,'Данные из терминала'!B:B,"buy")</f>
        <v>0</v>
      </c>
      <c r="AL26" s="401">
        <f>COUNTIFS('Данные из терминала'!C:C,AI26)</f>
        <v>0</v>
      </c>
      <c r="AM26" s="399">
        <f>SUMIFS('Данные из терминала'!E:E,'Данные из терминала'!C:C,AI26,'Данные из терминала'!B:B,"sell")</f>
        <v>0</v>
      </c>
      <c r="AN26" s="400">
        <f>SUMIFS('Данные из терминала'!E:E,'Данные из терминала'!C:C,AI26,'Данные из терминала'!B:B,"buy")</f>
        <v>0</v>
      </c>
      <c r="AO26" s="401">
        <f>SUMIFS('Данные из терминала'!E:E,'Данные из терминала'!C:C,AI26)</f>
        <v>0</v>
      </c>
      <c r="AP26" s="399">
        <f>SUMIFS('Данные из терминала'!N:N,'Данные из терминала'!C:C,AI26,'Данные из терминала'!B:B,"sell")</f>
        <v>0</v>
      </c>
      <c r="AQ26" s="400">
        <f>SUMIFS('Данные из терминала'!N:N,'Данные из терминала'!C:C,AI26,'Данные из терминала'!B:B,"buy")</f>
        <v>0</v>
      </c>
      <c r="AR26" s="401">
        <f>SUMIFS('Данные из терминала'!N:N,'Данные из терминала'!C:C,AI26)</f>
        <v>0</v>
      </c>
      <c r="AS26" s="399">
        <f>ROUND(IF(AJ26&gt;0,AVERAGEIFS('Данные из терминала'!N:N,'Данные из терминала'!C:C,AI26,'Данные из терминала'!B:B,"sell"),0),2)</f>
        <v>0</v>
      </c>
      <c r="AT26" s="400">
        <f>ROUND(IF(AK26&gt;0,AVERAGEIFS('Данные из терминала'!N:N,'Данные из терминала'!C:C,AI26,'Данные из терминала'!B:B,"buy"),0),2)</f>
        <v>0</v>
      </c>
      <c r="AU26" s="401">
        <f>ROUND(IF(AL26&gt;0,AVERAGEIFS('Данные из терминала'!N:N,'Данные из терминала'!C:C,AI26),0),2)</f>
        <v>0</v>
      </c>
      <c r="AV26" s="402">
        <f t="shared" si="20"/>
        <v>0</v>
      </c>
      <c r="AW26" s="403">
        <f t="shared" si="21"/>
        <v>0</v>
      </c>
      <c r="AX26" s="404">
        <f t="shared" si="22"/>
        <v>0</v>
      </c>
      <c r="AY26" s="399">
        <f>IF(AJ26&gt;0,VLOOKUP(AI26,Сводная!A:E,5,0),0)</f>
        <v>0</v>
      </c>
      <c r="AZ26" s="401">
        <f>IF(AK26&gt;0,VLOOKUP(AI26,Сводная!A:B,2,0),0)</f>
        <v>0</v>
      </c>
      <c r="BA26" s="399">
        <f>ROUND(IF(AJ26&gt;0,AVERAGEIFS('Данные из терминала'!L:L,'Данные из терминала'!C:C,AI26,'Данные из терминала'!B:B,"sell"),0),1)</f>
        <v>0</v>
      </c>
      <c r="BB26" s="400">
        <f>ROUND(IF(AK26&gt;0,AVERAGEIFS('Данные из терминала'!L:L,'Данные из терминала'!C:C,AI26,'Данные из терминала'!B:B,"buy"),0),1)</f>
        <v>0</v>
      </c>
      <c r="BC26" s="401">
        <f>ROUND(IF(AL26&gt;0,AVERAGEIFS('Данные из терминала'!L:L,'Данные из терминала'!C:C,AI26),0),1)</f>
        <v>0</v>
      </c>
      <c r="BD26" s="399">
        <f>IF(AJ26&gt;0,VLOOKUP(AI26,Сводная!A:F,6,0),0)</f>
        <v>0</v>
      </c>
      <c r="BE26" s="401">
        <f>IF(AK26&gt;0,VLOOKUP(AI26,Сводная!A:C,3,0),0)</f>
        <v>0</v>
      </c>
      <c r="BF26" s="399">
        <f>ROUND(IF(AJ26&gt;0,AVERAGEIFS('Данные из терминала'!M:M,'Данные из терминала'!C:C,AI26,'Данные из терминала'!B:B,"sell"),0),1)</f>
        <v>0</v>
      </c>
      <c r="BG26" s="400">
        <f>ROUND(IF(AK26&gt;0,AVERAGEIFS('Данные из терминала'!M:M,'Данные из терминала'!C:C,AI26,'Данные из терминала'!B:B,"buy"),0),1)</f>
        <v>0</v>
      </c>
      <c r="BH26" s="401">
        <f>ROUND(IF(AL26&gt;0,AVERAGEIFS('Данные из терминала'!M:M,'Данные из терминала'!C:C,AI26),0),1)</f>
        <v>0</v>
      </c>
      <c r="BI26" s="405">
        <f>IF(AJ26&gt;0,VLOOKUP(AI26,Сводная!A:G,7,0),0)</f>
        <v>0</v>
      </c>
      <c r="BJ26" s="406">
        <f>IF(AK26&gt;0,VLOOKUP(AI26,Сводная!A:D,4,0),0)</f>
        <v>0</v>
      </c>
      <c r="BK26" s="405">
        <f>IF(AJ26&gt;0,AVERAGEIFS('Данные из терминала'!O:O,'Данные из терминала'!C:C,AI26,'Данные из терминала'!B:B,"sell"),0)</f>
        <v>0</v>
      </c>
      <c r="BL26" s="407">
        <f>IF(AK26&gt;0,AVERAGEIFS('Данные из терминала'!O:O,'Данные из терминала'!C:C,AI26,'Данные из терминала'!B:B,"buy"),0)</f>
        <v>0</v>
      </c>
      <c r="BM26" s="406">
        <f>IF(AL26&gt;0,AVERAGEIFS('Данные из терминала'!O:O,'Данные из терминала'!C:C,AI26),0)</f>
        <v>0</v>
      </c>
      <c r="BO26" s="494">
        <v>2</v>
      </c>
    </row>
    <row r="27" spans="1:67" ht="15" x14ac:dyDescent="0.25">
      <c r="A27" s="165">
        <v>8</v>
      </c>
      <c r="B27" s="107">
        <f t="shared" si="12"/>
        <v>0</v>
      </c>
      <c r="C27" s="112">
        <f t="shared" si="13"/>
        <v>2</v>
      </c>
      <c r="D27" s="76"/>
      <c r="E27" s="107">
        <f t="shared" si="14"/>
        <v>0</v>
      </c>
      <c r="F27" s="105">
        <f t="shared" si="27"/>
        <v>20</v>
      </c>
      <c r="G27" s="100">
        <f t="shared" si="15"/>
        <v>140</v>
      </c>
      <c r="H27" s="11"/>
      <c r="I27" s="7">
        <f t="shared" si="16"/>
        <v>5</v>
      </c>
      <c r="J27" s="110">
        <f t="shared" si="0"/>
        <v>0.05</v>
      </c>
      <c r="K27" s="8">
        <f t="shared" si="23"/>
        <v>0.12000000000000001</v>
      </c>
      <c r="L27" s="157"/>
      <c r="M27" s="162">
        <f t="shared" si="1"/>
        <v>1.68</v>
      </c>
      <c r="N27" s="311">
        <f t="shared" si="2"/>
        <v>2.7999999999999998E-4</v>
      </c>
      <c r="O27" s="159">
        <f t="shared" si="3"/>
        <v>1.2</v>
      </c>
      <c r="P27" s="212">
        <f t="shared" si="17"/>
        <v>56.72</v>
      </c>
      <c r="Q27" s="225">
        <f t="shared" si="4"/>
        <v>9.4533333333333327E-3</v>
      </c>
      <c r="R27" s="119">
        <f t="shared" si="24"/>
        <v>47</v>
      </c>
      <c r="S27" s="120">
        <f t="shared" si="25"/>
        <v>0.34</v>
      </c>
      <c r="T27" s="126">
        <f t="shared" si="18"/>
        <v>49</v>
      </c>
      <c r="U27" s="127">
        <f t="shared" si="26"/>
        <v>0.35</v>
      </c>
      <c r="V27" s="385"/>
      <c r="W27" s="350">
        <f t="shared" si="5"/>
        <v>27.6</v>
      </c>
      <c r="X27" s="351">
        <f t="shared" si="19"/>
        <v>84.32</v>
      </c>
      <c r="Y27" s="354"/>
      <c r="Z27" s="355">
        <f t="shared" si="6"/>
        <v>5915.68</v>
      </c>
      <c r="AA27" s="356">
        <f t="shared" si="7"/>
        <v>0.01</v>
      </c>
      <c r="AB27" s="357">
        <f t="shared" si="8"/>
        <v>4948.1333333333332</v>
      </c>
      <c r="AC27" s="358">
        <f t="shared" si="9"/>
        <v>5088.1333333333332</v>
      </c>
      <c r="AD27" s="174">
        <v>8</v>
      </c>
      <c r="AE27" s="388"/>
      <c r="AF27" s="352">
        <f t="shared" si="10"/>
        <v>0.49</v>
      </c>
      <c r="AG27" s="353">
        <f t="shared" si="11"/>
        <v>0</v>
      </c>
      <c r="AH27" s="395"/>
      <c r="AI27" s="398">
        <v>8</v>
      </c>
      <c r="AJ27" s="399">
        <f>COUNTIFS('Данные из терминала'!C:C,AI27,'Данные из терминала'!B:B,"sell")</f>
        <v>0</v>
      </c>
      <c r="AK27" s="400">
        <f>COUNTIFS('Данные из терминала'!C:C,AI27,'Данные из терминала'!B:B,"buy")</f>
        <v>0</v>
      </c>
      <c r="AL27" s="401">
        <f>COUNTIFS('Данные из терминала'!C:C,AI27)</f>
        <v>0</v>
      </c>
      <c r="AM27" s="399">
        <f>SUMIFS('Данные из терминала'!E:E,'Данные из терминала'!C:C,AI27,'Данные из терминала'!B:B,"sell")</f>
        <v>0</v>
      </c>
      <c r="AN27" s="400">
        <f>SUMIFS('Данные из терминала'!E:E,'Данные из терминала'!C:C,AI27,'Данные из терминала'!B:B,"buy")</f>
        <v>0</v>
      </c>
      <c r="AO27" s="401">
        <f>SUMIFS('Данные из терминала'!E:E,'Данные из терминала'!C:C,AI27)</f>
        <v>0</v>
      </c>
      <c r="AP27" s="399">
        <f>SUMIFS('Данные из терминала'!N:N,'Данные из терминала'!C:C,AI27,'Данные из терминала'!B:B,"sell")</f>
        <v>0</v>
      </c>
      <c r="AQ27" s="400">
        <f>SUMIFS('Данные из терминала'!N:N,'Данные из терминала'!C:C,AI27,'Данные из терминала'!B:B,"buy")</f>
        <v>0</v>
      </c>
      <c r="AR27" s="401">
        <f>SUMIFS('Данные из терминала'!N:N,'Данные из терминала'!C:C,AI27)</f>
        <v>0</v>
      </c>
      <c r="AS27" s="399">
        <f>ROUND(IF(AJ27&gt;0,AVERAGEIFS('Данные из терминала'!N:N,'Данные из терминала'!C:C,AI27,'Данные из терминала'!B:B,"sell"),0),2)</f>
        <v>0</v>
      </c>
      <c r="AT27" s="400">
        <f>ROUND(IF(AK27&gt;0,AVERAGEIFS('Данные из терминала'!N:N,'Данные из терминала'!C:C,AI27,'Данные из терминала'!B:B,"buy"),0),2)</f>
        <v>0</v>
      </c>
      <c r="AU27" s="401">
        <f>ROUND(IF(AL27&gt;0,AVERAGEIFS('Данные из терминала'!N:N,'Данные из терминала'!C:C,AI27),0),2)</f>
        <v>0</v>
      </c>
      <c r="AV27" s="402">
        <f t="shared" si="20"/>
        <v>0</v>
      </c>
      <c r="AW27" s="403">
        <f t="shared" si="21"/>
        <v>0</v>
      </c>
      <c r="AX27" s="404">
        <f t="shared" si="22"/>
        <v>0</v>
      </c>
      <c r="AY27" s="399">
        <f>IF(AJ27&gt;0,VLOOKUP(AI27,Сводная!A:E,5,0),0)</f>
        <v>0</v>
      </c>
      <c r="AZ27" s="401">
        <f>IF(AK27&gt;0,VLOOKUP(AI27,Сводная!A:B,2,0),0)</f>
        <v>0</v>
      </c>
      <c r="BA27" s="399">
        <f>ROUND(IF(AJ27&gt;0,AVERAGEIFS('Данные из терминала'!L:L,'Данные из терминала'!C:C,AI27,'Данные из терминала'!B:B,"sell"),0),1)</f>
        <v>0</v>
      </c>
      <c r="BB27" s="400">
        <f>ROUND(IF(AK27&gt;0,AVERAGEIFS('Данные из терминала'!L:L,'Данные из терминала'!C:C,AI27,'Данные из терминала'!B:B,"buy"),0),1)</f>
        <v>0</v>
      </c>
      <c r="BC27" s="401">
        <f>ROUND(IF(AL27&gt;0,AVERAGEIFS('Данные из терминала'!L:L,'Данные из терминала'!C:C,AI27),0),1)</f>
        <v>0</v>
      </c>
      <c r="BD27" s="399">
        <f>IF(AJ27&gt;0,VLOOKUP(AI27,Сводная!A:F,6,0),0)</f>
        <v>0</v>
      </c>
      <c r="BE27" s="401">
        <f>IF(AK27&gt;0,VLOOKUP(AI27,Сводная!A:C,3,0),0)</f>
        <v>0</v>
      </c>
      <c r="BF27" s="399">
        <f>ROUND(IF(AJ27&gt;0,AVERAGEIFS('Данные из терминала'!M:M,'Данные из терминала'!C:C,AI27,'Данные из терминала'!B:B,"sell"),0),1)</f>
        <v>0</v>
      </c>
      <c r="BG27" s="400">
        <f>ROUND(IF(AK27&gt;0,AVERAGEIFS('Данные из терминала'!M:M,'Данные из терминала'!C:C,AI27,'Данные из терминала'!B:B,"buy"),0),1)</f>
        <v>0</v>
      </c>
      <c r="BH27" s="401">
        <f>ROUND(IF(AL27&gt;0,AVERAGEIFS('Данные из терминала'!M:M,'Данные из терминала'!C:C,AI27),0),1)</f>
        <v>0</v>
      </c>
      <c r="BI27" s="405">
        <f>IF(AJ27&gt;0,VLOOKUP(AI27,Сводная!A:G,7,0),0)</f>
        <v>0</v>
      </c>
      <c r="BJ27" s="406">
        <f>IF(AK27&gt;0,VLOOKUP(AI27,Сводная!A:D,4,0),0)</f>
        <v>0</v>
      </c>
      <c r="BK27" s="405">
        <f>IF(AJ27&gt;0,AVERAGEIFS('Данные из терминала'!O:O,'Данные из терминала'!C:C,AI27,'Данные из терминала'!B:B,"sell"),0)</f>
        <v>0</v>
      </c>
      <c r="BL27" s="407">
        <f>IF(AK27&gt;0,AVERAGEIFS('Данные из терминала'!O:O,'Данные из терминала'!C:C,AI27,'Данные из терминала'!B:B,"buy"),0)</f>
        <v>0</v>
      </c>
      <c r="BM27" s="406">
        <f>IF(AL27&gt;0,AVERAGEIFS('Данные из терминала'!O:O,'Данные из терминала'!C:C,AI27),0)</f>
        <v>0</v>
      </c>
      <c r="BO27" s="494"/>
    </row>
    <row r="28" spans="1:67" ht="17.25" customHeight="1" x14ac:dyDescent="0.25">
      <c r="A28" s="165">
        <v>9</v>
      </c>
      <c r="B28" s="107">
        <f t="shared" si="12"/>
        <v>0</v>
      </c>
      <c r="C28" s="112">
        <f t="shared" si="13"/>
        <v>2</v>
      </c>
      <c r="D28" s="76"/>
      <c r="E28" s="107">
        <f t="shared" si="14"/>
        <v>0</v>
      </c>
      <c r="F28" s="105">
        <f t="shared" si="27"/>
        <v>20</v>
      </c>
      <c r="G28" s="100">
        <f t="shared" si="15"/>
        <v>160</v>
      </c>
      <c r="H28" s="11"/>
      <c r="I28" s="7">
        <f t="shared" si="16"/>
        <v>5</v>
      </c>
      <c r="J28" s="110">
        <f t="shared" si="0"/>
        <v>0.25</v>
      </c>
      <c r="K28" s="8">
        <f t="shared" si="23"/>
        <v>0.37</v>
      </c>
      <c r="L28" s="157"/>
      <c r="M28" s="162">
        <f t="shared" si="1"/>
        <v>5.18</v>
      </c>
      <c r="N28" s="311">
        <f t="shared" si="2"/>
        <v>8.6333333333333325E-4</v>
      </c>
      <c r="O28" s="159">
        <f t="shared" si="3"/>
        <v>3.7</v>
      </c>
      <c r="P28" s="212">
        <f t="shared" si="17"/>
        <v>82.22</v>
      </c>
      <c r="Q28" s="225">
        <f t="shared" si="4"/>
        <v>1.3703333333333333E-2</v>
      </c>
      <c r="R28" s="119">
        <f t="shared" si="24"/>
        <v>22</v>
      </c>
      <c r="S28" s="120">
        <f t="shared" si="25"/>
        <v>0.14000000000000001</v>
      </c>
      <c r="T28" s="126">
        <f t="shared" si="18"/>
        <v>24</v>
      </c>
      <c r="U28" s="127">
        <f t="shared" si="26"/>
        <v>0.15</v>
      </c>
      <c r="V28" s="385"/>
      <c r="W28" s="350">
        <f t="shared" si="5"/>
        <v>85.1</v>
      </c>
      <c r="X28" s="351">
        <f t="shared" si="19"/>
        <v>167.32</v>
      </c>
      <c r="Y28" s="354"/>
      <c r="Z28" s="355">
        <f t="shared" si="6"/>
        <v>5832.68</v>
      </c>
      <c r="AA28" s="356">
        <f t="shared" si="7"/>
        <v>0.03</v>
      </c>
      <c r="AB28" s="357">
        <f t="shared" si="8"/>
        <v>1594.7999999999997</v>
      </c>
      <c r="AC28" s="358">
        <f t="shared" si="9"/>
        <v>1754.7999999999997</v>
      </c>
      <c r="AD28" s="174">
        <v>9</v>
      </c>
      <c r="AE28" s="388"/>
      <c r="AF28" s="352">
        <f t="shared" si="10"/>
        <v>1.04</v>
      </c>
      <c r="AG28" s="353">
        <f t="shared" si="11"/>
        <v>0.01</v>
      </c>
      <c r="AH28" s="395"/>
      <c r="AI28" s="398">
        <v>9</v>
      </c>
      <c r="AJ28" s="399">
        <f>COUNTIFS('Данные из терминала'!C:C,AI28,'Данные из терминала'!B:B,"sell")</f>
        <v>0</v>
      </c>
      <c r="AK28" s="400">
        <f>COUNTIFS('Данные из терминала'!C:C,AI28,'Данные из терминала'!B:B,"buy")</f>
        <v>0</v>
      </c>
      <c r="AL28" s="401">
        <f>COUNTIFS('Данные из терминала'!C:C,AI28)</f>
        <v>0</v>
      </c>
      <c r="AM28" s="399">
        <f>SUMIFS('Данные из терминала'!E:E,'Данные из терминала'!C:C,AI28,'Данные из терминала'!B:B,"sell")</f>
        <v>0</v>
      </c>
      <c r="AN28" s="400">
        <f>SUMIFS('Данные из терминала'!E:E,'Данные из терминала'!C:C,AI28,'Данные из терминала'!B:B,"buy")</f>
        <v>0</v>
      </c>
      <c r="AO28" s="401">
        <f>SUMIFS('Данные из терминала'!E:E,'Данные из терминала'!C:C,AI28)</f>
        <v>0</v>
      </c>
      <c r="AP28" s="399">
        <f>SUMIFS('Данные из терминала'!N:N,'Данные из терминала'!C:C,AI28,'Данные из терминала'!B:B,"sell")</f>
        <v>0</v>
      </c>
      <c r="AQ28" s="400">
        <f>SUMIFS('Данные из терминала'!N:N,'Данные из терминала'!C:C,AI28,'Данные из терминала'!B:B,"buy")</f>
        <v>0</v>
      </c>
      <c r="AR28" s="401">
        <f>SUMIFS('Данные из терминала'!N:N,'Данные из терминала'!C:C,AI28)</f>
        <v>0</v>
      </c>
      <c r="AS28" s="399">
        <f>ROUND(IF(AJ28&gt;0,AVERAGEIFS('Данные из терминала'!N:N,'Данные из терминала'!C:C,AI28,'Данные из терминала'!B:B,"sell"),0),2)</f>
        <v>0</v>
      </c>
      <c r="AT28" s="400">
        <f>ROUND(IF(AK28&gt;0,AVERAGEIFS('Данные из терминала'!N:N,'Данные из терминала'!C:C,AI28,'Данные из терминала'!B:B,"buy"),0),2)</f>
        <v>0</v>
      </c>
      <c r="AU28" s="401">
        <f>ROUND(IF(AL28&gt;0,AVERAGEIFS('Данные из терминала'!N:N,'Данные из терминала'!C:C,AI28),0),2)</f>
        <v>0</v>
      </c>
      <c r="AV28" s="402">
        <f t="shared" si="20"/>
        <v>0</v>
      </c>
      <c r="AW28" s="403">
        <f t="shared" si="21"/>
        <v>0</v>
      </c>
      <c r="AX28" s="404">
        <f t="shared" si="22"/>
        <v>0</v>
      </c>
      <c r="AY28" s="399">
        <f>IF(AJ28&gt;0,VLOOKUP(AI28,Сводная!A:E,5,0),0)</f>
        <v>0</v>
      </c>
      <c r="AZ28" s="401">
        <f>IF(AK28&gt;0,VLOOKUP(AI28,Сводная!A:B,2,0),0)</f>
        <v>0</v>
      </c>
      <c r="BA28" s="399">
        <f>ROUND(IF(AJ28&gt;0,AVERAGEIFS('Данные из терминала'!L:L,'Данные из терминала'!C:C,AI28,'Данные из терминала'!B:B,"sell"),0),1)</f>
        <v>0</v>
      </c>
      <c r="BB28" s="400">
        <f>ROUND(IF(AK28&gt;0,AVERAGEIFS('Данные из терминала'!L:L,'Данные из терминала'!C:C,AI28,'Данные из терминала'!B:B,"buy"),0),1)</f>
        <v>0</v>
      </c>
      <c r="BC28" s="401">
        <f>ROUND(IF(AL28&gt;0,AVERAGEIFS('Данные из терминала'!L:L,'Данные из терминала'!C:C,AI28),0),1)</f>
        <v>0</v>
      </c>
      <c r="BD28" s="399">
        <f>IF(AJ28&gt;0,VLOOKUP(AI28,Сводная!A:F,6,0),0)</f>
        <v>0</v>
      </c>
      <c r="BE28" s="401">
        <f>IF(AK28&gt;0,VLOOKUP(AI28,Сводная!A:C,3,0),0)</f>
        <v>0</v>
      </c>
      <c r="BF28" s="399">
        <f>ROUND(IF(AJ28&gt;0,AVERAGEIFS('Данные из терминала'!M:M,'Данные из терминала'!C:C,AI28,'Данные из терминала'!B:B,"sell"),0),1)</f>
        <v>0</v>
      </c>
      <c r="BG28" s="400">
        <f>ROUND(IF(AK28&gt;0,AVERAGEIFS('Данные из терминала'!M:M,'Данные из терминала'!C:C,AI28,'Данные из терминала'!B:B,"buy"),0),1)</f>
        <v>0</v>
      </c>
      <c r="BH28" s="401">
        <f>ROUND(IF(AL28&gt;0,AVERAGEIFS('Данные из терминала'!M:M,'Данные из терминала'!C:C,AI28),0),1)</f>
        <v>0</v>
      </c>
      <c r="BI28" s="405">
        <f>IF(AJ28&gt;0,VLOOKUP(AI28,Сводная!A:G,7,0),0)</f>
        <v>0</v>
      </c>
      <c r="BJ28" s="406">
        <f>IF(AK28&gt;0,VLOOKUP(AI28,Сводная!A:D,4,0),0)</f>
        <v>0</v>
      </c>
      <c r="BK28" s="405">
        <f>IF(AJ28&gt;0,AVERAGEIFS('Данные из терминала'!O:O,'Данные из терминала'!C:C,AI28,'Данные из терминала'!B:B,"sell"),0)</f>
        <v>0</v>
      </c>
      <c r="BL28" s="407">
        <f>IF(AK28&gt;0,AVERAGEIFS('Данные из терминала'!O:O,'Данные из терминала'!C:C,AI28,'Данные из терминала'!B:B,"buy"),0)</f>
        <v>0</v>
      </c>
      <c r="BM28" s="406">
        <f>IF(AL28&gt;0,AVERAGEIFS('Данные из терминала'!O:O,'Данные из терминала'!C:C,AI28),0)</f>
        <v>0</v>
      </c>
      <c r="BO28" s="181"/>
    </row>
    <row r="29" spans="1:67" ht="15" x14ac:dyDescent="0.25">
      <c r="A29" s="165">
        <v>10</v>
      </c>
      <c r="B29" s="108">
        <f t="shared" si="12"/>
        <v>0</v>
      </c>
      <c r="C29" s="102">
        <f t="shared" si="13"/>
        <v>2</v>
      </c>
      <c r="D29" s="9"/>
      <c r="E29" s="108">
        <f t="shared" si="14"/>
        <v>0</v>
      </c>
      <c r="F29" s="101">
        <f t="shared" si="27"/>
        <v>20</v>
      </c>
      <c r="G29" s="102">
        <f t="shared" si="15"/>
        <v>180</v>
      </c>
      <c r="H29" s="9"/>
      <c r="I29" s="13">
        <f t="shared" si="16"/>
        <v>5</v>
      </c>
      <c r="J29" s="14">
        <f t="shared" si="0"/>
        <v>1.25</v>
      </c>
      <c r="K29" s="15">
        <f t="shared" si="23"/>
        <v>1.62</v>
      </c>
      <c r="L29" s="157"/>
      <c r="M29" s="163">
        <f t="shared" si="1"/>
        <v>22.68</v>
      </c>
      <c r="N29" s="312">
        <f t="shared" si="2"/>
        <v>3.7799999999999999E-3</v>
      </c>
      <c r="O29" s="160">
        <f t="shared" si="3"/>
        <v>16.2</v>
      </c>
      <c r="P29" s="213">
        <f t="shared" si="17"/>
        <v>163.72</v>
      </c>
      <c r="Q29" s="224">
        <f t="shared" si="4"/>
        <v>2.7286666666666667E-2</v>
      </c>
      <c r="R29" s="121">
        <f t="shared" si="24"/>
        <v>10</v>
      </c>
      <c r="S29" s="122">
        <f t="shared" si="25"/>
        <v>0.06</v>
      </c>
      <c r="T29" s="132">
        <f t="shared" si="18"/>
        <v>12</v>
      </c>
      <c r="U29" s="122">
        <f t="shared" si="26"/>
        <v>7.0000000000000007E-2</v>
      </c>
      <c r="V29" s="385"/>
      <c r="W29" s="359">
        <f t="shared" si="5"/>
        <v>372.6</v>
      </c>
      <c r="X29" s="360">
        <f t="shared" si="19"/>
        <v>536.32000000000005</v>
      </c>
      <c r="Y29" s="354"/>
      <c r="Z29" s="363">
        <f t="shared" si="6"/>
        <v>5463.68</v>
      </c>
      <c r="AA29" s="364">
        <f t="shared" si="7"/>
        <v>0.09</v>
      </c>
      <c r="AB29" s="365">
        <f t="shared" si="8"/>
        <v>355.66419753086416</v>
      </c>
      <c r="AC29" s="366">
        <f t="shared" si="9"/>
        <v>535.66419753086416</v>
      </c>
      <c r="AD29" s="174">
        <v>10</v>
      </c>
      <c r="AE29" s="388"/>
      <c r="AF29" s="361">
        <f t="shared" si="10"/>
        <v>2.2799999999999998</v>
      </c>
      <c r="AG29" s="362">
        <f t="shared" si="11"/>
        <v>0.06</v>
      </c>
      <c r="AH29" s="395"/>
      <c r="AI29" s="174">
        <v>10</v>
      </c>
      <c r="AJ29" s="409">
        <f>COUNTIFS('Данные из терминала'!C:C,AI29,'Данные из терминала'!B:B,"sell")</f>
        <v>0</v>
      </c>
      <c r="AK29" s="409">
        <f>COUNTIFS('Данные из терминала'!C:C,AI29,'Данные из терминала'!B:B,"buy")</f>
        <v>0</v>
      </c>
      <c r="AL29" s="410">
        <f>COUNTIFS('Данные из терминала'!C:C,AI29)</f>
        <v>0</v>
      </c>
      <c r="AM29" s="409">
        <f>SUMIFS('Данные из терминала'!E:E,'Данные из терминала'!C:C,AI29,'Данные из терминала'!B:B,"sell")</f>
        <v>0</v>
      </c>
      <c r="AN29" s="409">
        <f>SUMIFS('Данные из терминала'!E:E,'Данные из терминала'!C:C,AI29,'Данные из терминала'!B:B,"buy")</f>
        <v>0</v>
      </c>
      <c r="AO29" s="410">
        <f>SUMIFS('Данные из терминала'!E:E,'Данные из терминала'!C:C,AI29)</f>
        <v>0</v>
      </c>
      <c r="AP29" s="409">
        <f>SUMIFS('Данные из терминала'!N:N,'Данные из терминала'!C:C,AI29,'Данные из терминала'!B:B,"sell")</f>
        <v>0</v>
      </c>
      <c r="AQ29" s="409">
        <f>SUMIFS('Данные из терминала'!N:N,'Данные из терминала'!C:C,AI29,'Данные из терминала'!B:B,"buy")</f>
        <v>0</v>
      </c>
      <c r="AR29" s="410">
        <f>SUMIFS('Данные из терминала'!N:N,'Данные из терминала'!C:C,AI29)</f>
        <v>0</v>
      </c>
      <c r="AS29" s="409">
        <f>ROUND(IF(AJ29&gt;0,AVERAGEIFS('Данные из терминала'!N:N,'Данные из терминала'!C:C,AI29,'Данные из терминала'!B:B,"sell"),0),2)</f>
        <v>0</v>
      </c>
      <c r="AT29" s="409">
        <f>ROUND(IF(AK29&gt;0,AVERAGEIFS('Данные из терминала'!N:N,'Данные из терминала'!C:C,AI29,'Данные из терминала'!B:B,"buy"),0),2)</f>
        <v>0</v>
      </c>
      <c r="AU29" s="410">
        <f>ROUND(IF(AL29&gt;0,AVERAGEIFS('Данные из терминала'!N:N,'Данные из терминала'!C:C,AI29),0),2)</f>
        <v>0</v>
      </c>
      <c r="AV29" s="411">
        <f t="shared" si="20"/>
        <v>0</v>
      </c>
      <c r="AW29" s="411">
        <f t="shared" si="21"/>
        <v>0</v>
      </c>
      <c r="AX29" s="411">
        <f t="shared" si="22"/>
        <v>0</v>
      </c>
      <c r="AY29" s="408">
        <f>IF(AJ29&gt;0,VLOOKUP(AI29,Сводная!A:E,5,0),0)</f>
        <v>0</v>
      </c>
      <c r="AZ29" s="410">
        <f>IF(AK29&gt;0,VLOOKUP(AI29,Сводная!A:B,2,0),0)</f>
        <v>0</v>
      </c>
      <c r="BA29" s="409">
        <f>ROUND(IF(AJ29&gt;0,AVERAGEIFS('Данные из терминала'!L:L,'Данные из терминала'!C:C,AI29,'Данные из терминала'!B:B,"sell"),0),1)</f>
        <v>0</v>
      </c>
      <c r="BB29" s="409">
        <f>ROUND(IF(AK29&gt;0,AVERAGEIFS('Данные из терминала'!L:L,'Данные из терминала'!C:C,AI29,'Данные из терминала'!B:B,"buy"),0),1)</f>
        <v>0</v>
      </c>
      <c r="BC29" s="409">
        <f>ROUND(IF(AL29&gt;0,AVERAGEIFS('Данные из терминала'!L:L,'Данные из терминала'!C:C,AI29),0),1)</f>
        <v>0</v>
      </c>
      <c r="BD29" s="408">
        <f>IF(AJ29&gt;0,VLOOKUP(AI29,Сводная!A:F,6,0),0)</f>
        <v>0</v>
      </c>
      <c r="BE29" s="410">
        <f>IF(AK29&gt;0,VLOOKUP(AI29,Сводная!A:C,3,0),0)</f>
        <v>0</v>
      </c>
      <c r="BF29" s="409">
        <f>ROUND(IF(AJ29&gt;0,AVERAGEIFS('Данные из терминала'!M:M,'Данные из терминала'!C:C,AI29,'Данные из терминала'!B:B,"sell"),0),1)</f>
        <v>0</v>
      </c>
      <c r="BG29" s="409">
        <f>ROUND(IF(AK29&gt;0,AVERAGEIFS('Данные из терминала'!M:M,'Данные из терминала'!C:C,AI29,'Данные из терминала'!B:B,"buy"),0),1)</f>
        <v>0</v>
      </c>
      <c r="BH29" s="409">
        <f>ROUND(IF(AL29&gt;0,AVERAGEIFS('Данные из терминала'!M:M,'Данные из терминала'!C:C,AI29),0),1)</f>
        <v>0</v>
      </c>
      <c r="BI29" s="412">
        <f>IF(AJ29&gt;0,VLOOKUP(AI29,Сводная!A:G,7,0),0)</f>
        <v>0</v>
      </c>
      <c r="BJ29" s="413">
        <f>IF(AK29&gt;0,VLOOKUP(AI29,Сводная!A:D,4,0),0)</f>
        <v>0</v>
      </c>
      <c r="BK29" s="414">
        <f>IF(AJ29&gt;0,AVERAGEIFS('Данные из терминала'!O:O,'Данные из терминала'!C:C,AI29,'Данные из терминала'!B:B,"sell"),0)</f>
        <v>0</v>
      </c>
      <c r="BL29" s="414">
        <f>IF(AK29&gt;0,AVERAGEIFS('Данные из терминала'!O:O,'Данные из терминала'!C:C,AI29,'Данные из терминала'!B:B,"buy"),0)</f>
        <v>0</v>
      </c>
      <c r="BM29" s="413">
        <f>IF(AL29&gt;0,AVERAGEIFS('Данные из терминала'!O:O,'Данные из терминала'!C:C,AI29),0)</f>
        <v>0</v>
      </c>
    </row>
    <row r="30" spans="1:67" ht="15" x14ac:dyDescent="0.25">
      <c r="A30" s="165">
        <v>11</v>
      </c>
      <c r="B30" s="107">
        <f t="shared" si="12"/>
        <v>0</v>
      </c>
      <c r="C30" s="112">
        <f t="shared" si="13"/>
        <v>2</v>
      </c>
      <c r="D30" s="76"/>
      <c r="E30" s="107">
        <f t="shared" si="14"/>
        <v>0</v>
      </c>
      <c r="F30" s="105">
        <f t="shared" si="27"/>
        <v>20</v>
      </c>
      <c r="G30" s="100">
        <f t="shared" si="15"/>
        <v>200</v>
      </c>
      <c r="H30" s="11"/>
      <c r="I30" s="7">
        <f t="shared" si="16"/>
        <v>5</v>
      </c>
      <c r="J30" s="110">
        <f t="shared" si="0"/>
        <v>6.25</v>
      </c>
      <c r="K30" s="8">
        <f t="shared" si="23"/>
        <v>7.87</v>
      </c>
      <c r="L30" s="157"/>
      <c r="M30" s="162">
        <f t="shared" si="1"/>
        <v>110.18</v>
      </c>
      <c r="N30" s="311">
        <f t="shared" si="2"/>
        <v>1.8363333333333336E-2</v>
      </c>
      <c r="O30" s="159">
        <f t="shared" si="3"/>
        <v>78.7</v>
      </c>
      <c r="P30" s="212">
        <f t="shared" si="17"/>
        <v>525.22</v>
      </c>
      <c r="Q30" s="225">
        <f t="shared" si="4"/>
        <v>8.7536666666666665E-2</v>
      </c>
      <c r="R30" s="119">
        <f t="shared" si="24"/>
        <v>7</v>
      </c>
      <c r="S30" s="120">
        <f t="shared" si="25"/>
        <v>0.04</v>
      </c>
      <c r="T30" s="126">
        <f t="shared" si="18"/>
        <v>9</v>
      </c>
      <c r="U30" s="127">
        <f t="shared" si="26"/>
        <v>0.05</v>
      </c>
      <c r="V30" s="385"/>
      <c r="W30" s="350">
        <f t="shared" si="5"/>
        <v>1810.1</v>
      </c>
      <c r="X30" s="351">
        <f t="shared" si="19"/>
        <v>2335.3200000000002</v>
      </c>
      <c r="Y30" s="354"/>
      <c r="Z30" s="355">
        <f t="shared" si="6"/>
        <v>3664.68</v>
      </c>
      <c r="AA30" s="356">
        <f t="shared" si="7"/>
        <v>0.39</v>
      </c>
      <c r="AB30" s="357">
        <f t="shared" si="8"/>
        <v>64.965184243964416</v>
      </c>
      <c r="AC30" s="358">
        <f t="shared" si="9"/>
        <v>264.96518424396442</v>
      </c>
      <c r="AD30" s="174">
        <v>11</v>
      </c>
      <c r="AE30" s="388"/>
      <c r="AF30" s="352">
        <f t="shared" si="10"/>
        <v>3.45</v>
      </c>
      <c r="AG30" s="353">
        <f t="shared" si="11"/>
        <v>0.3</v>
      </c>
      <c r="AH30" s="395"/>
      <c r="AI30" s="398">
        <v>11</v>
      </c>
      <c r="AJ30" s="399">
        <f>COUNTIFS('Данные из терминала'!C:C,AI30,'Данные из терминала'!B:B,"sell")</f>
        <v>0</v>
      </c>
      <c r="AK30" s="400">
        <f>COUNTIFS('Данные из терминала'!C:C,AI30,'Данные из терминала'!B:B,"buy")</f>
        <v>0</v>
      </c>
      <c r="AL30" s="401">
        <f>COUNTIFS('Данные из терминала'!C:C,AI30)</f>
        <v>0</v>
      </c>
      <c r="AM30" s="399">
        <f>SUMIFS('Данные из терминала'!E:E,'Данные из терминала'!C:C,AI30,'Данные из терминала'!B:B,"sell")</f>
        <v>0</v>
      </c>
      <c r="AN30" s="400">
        <f>SUMIFS('Данные из терминала'!E:E,'Данные из терминала'!C:C,AI30,'Данные из терминала'!B:B,"buy")</f>
        <v>0</v>
      </c>
      <c r="AO30" s="401">
        <f>SUMIFS('Данные из терминала'!E:E,'Данные из терминала'!C:C,AI30)</f>
        <v>0</v>
      </c>
      <c r="AP30" s="399">
        <f>SUMIFS('Данные из терминала'!N:N,'Данные из терминала'!C:C,AI30,'Данные из терминала'!B:B,"sell")</f>
        <v>0</v>
      </c>
      <c r="AQ30" s="400">
        <f>SUMIFS('Данные из терминала'!N:N,'Данные из терминала'!C:C,AI30,'Данные из терминала'!B:B,"buy")</f>
        <v>0</v>
      </c>
      <c r="AR30" s="401">
        <f>SUMIFS('Данные из терминала'!N:N,'Данные из терминала'!C:C,AI30)</f>
        <v>0</v>
      </c>
      <c r="AS30" s="399">
        <f>ROUND(IF(AJ30&gt;0,AVERAGEIFS('Данные из терминала'!N:N,'Данные из терминала'!C:C,AI30,'Данные из терминала'!B:B,"sell"),0),2)</f>
        <v>0</v>
      </c>
      <c r="AT30" s="400">
        <f>ROUND(IF(AK30&gt;0,AVERAGEIFS('Данные из терминала'!N:N,'Данные из терминала'!C:C,AI30,'Данные из терминала'!B:B,"buy"),0),2)</f>
        <v>0</v>
      </c>
      <c r="AU30" s="401">
        <f>ROUND(IF(AL30&gt;0,AVERAGEIFS('Данные из терминала'!N:N,'Данные из терминала'!C:C,AI30),0),2)</f>
        <v>0</v>
      </c>
      <c r="AV30" s="402">
        <f t="shared" si="20"/>
        <v>0</v>
      </c>
      <c r="AW30" s="403">
        <f t="shared" si="21"/>
        <v>0</v>
      </c>
      <c r="AX30" s="404">
        <f t="shared" si="22"/>
        <v>0</v>
      </c>
      <c r="AY30" s="399">
        <f>IF(AJ30&gt;0,VLOOKUP(AI30,Сводная!A:E,5,0),0)</f>
        <v>0</v>
      </c>
      <c r="AZ30" s="401">
        <f>IF(AK30&gt;0,VLOOKUP(AI30,Сводная!A:B,2,0),0)</f>
        <v>0</v>
      </c>
      <c r="BA30" s="399">
        <f>ROUND(IF(AJ30&gt;0,AVERAGEIFS('Данные из терминала'!L:L,'Данные из терминала'!C:C,AI30,'Данные из терминала'!B:B,"sell"),0),1)</f>
        <v>0</v>
      </c>
      <c r="BB30" s="400">
        <f>ROUND(IF(AK30&gt;0,AVERAGEIFS('Данные из терминала'!L:L,'Данные из терминала'!C:C,AI30,'Данные из терминала'!B:B,"buy"),0),1)</f>
        <v>0</v>
      </c>
      <c r="BC30" s="401">
        <f>ROUND(IF(AL30&gt;0,AVERAGEIFS('Данные из терминала'!L:L,'Данные из терминала'!C:C,AI30),0),1)</f>
        <v>0</v>
      </c>
      <c r="BD30" s="399">
        <f>IF(AJ30&gt;0,VLOOKUP(AI30,Сводная!A:F,6,0),0)</f>
        <v>0</v>
      </c>
      <c r="BE30" s="401">
        <f>IF(AK30&gt;0,VLOOKUP(AI30,Сводная!A:C,3,0),0)</f>
        <v>0</v>
      </c>
      <c r="BF30" s="399">
        <f>ROUND(IF(AJ30&gt;0,AVERAGEIFS('Данные из терминала'!M:M,'Данные из терминала'!C:C,AI30,'Данные из терминала'!B:B,"sell"),0),1)</f>
        <v>0</v>
      </c>
      <c r="BG30" s="400">
        <f>ROUND(IF(AK30&gt;0,AVERAGEIFS('Данные из терминала'!M:M,'Данные из терминала'!C:C,AI30,'Данные из терминала'!B:B,"buy"),0),1)</f>
        <v>0</v>
      </c>
      <c r="BH30" s="401">
        <f>ROUND(IF(AL30&gt;0,AVERAGEIFS('Данные из терминала'!M:M,'Данные из терминала'!C:C,AI30),0),1)</f>
        <v>0</v>
      </c>
      <c r="BI30" s="405">
        <f>IF(AJ30&gt;0,VLOOKUP(AI30,Сводная!A:G,7,0),0)</f>
        <v>0</v>
      </c>
      <c r="BJ30" s="406">
        <f>IF(AK30&gt;0,VLOOKUP(AI30,Сводная!A:D,4,0),0)</f>
        <v>0</v>
      </c>
      <c r="BK30" s="405">
        <f>IF(AJ30&gt;0,AVERAGEIFS('Данные из терминала'!O:O,'Данные из терминала'!C:C,AI30,'Данные из терминала'!B:B,"sell"),0)</f>
        <v>0</v>
      </c>
      <c r="BL30" s="407">
        <f>IF(AK30&gt;0,AVERAGEIFS('Данные из терминала'!O:O,'Данные из терминала'!C:C,AI30,'Данные из терминала'!B:B,"buy"),0)</f>
        <v>0</v>
      </c>
      <c r="BM30" s="406">
        <f>IF(AL30&gt;0,AVERAGEIFS('Данные из терминала'!O:O,'Данные из терминала'!C:C,AI30),0)</f>
        <v>0</v>
      </c>
    </row>
    <row r="31" spans="1:67" ht="15" x14ac:dyDescent="0.25">
      <c r="A31" s="165">
        <v>12</v>
      </c>
      <c r="B31" s="107">
        <f t="shared" si="12"/>
        <v>0</v>
      </c>
      <c r="C31" s="112">
        <f t="shared" si="13"/>
        <v>2</v>
      </c>
      <c r="D31" s="76"/>
      <c r="E31" s="107">
        <f t="shared" si="14"/>
        <v>0</v>
      </c>
      <c r="F31" s="105">
        <f t="shared" si="27"/>
        <v>20</v>
      </c>
      <c r="G31" s="100">
        <f t="shared" si="15"/>
        <v>220</v>
      </c>
      <c r="H31" s="11"/>
      <c r="I31" s="7">
        <f t="shared" si="16"/>
        <v>5</v>
      </c>
      <c r="J31" s="110">
        <f t="shared" si="0"/>
        <v>31.25</v>
      </c>
      <c r="K31" s="8">
        <f t="shared" si="23"/>
        <v>39.119999999999997</v>
      </c>
      <c r="L31" s="157"/>
      <c r="M31" s="162">
        <f t="shared" si="1"/>
        <v>547.67999999999995</v>
      </c>
      <c r="N31" s="311">
        <f t="shared" si="2"/>
        <v>9.1279999999999986E-2</v>
      </c>
      <c r="O31" s="159">
        <f t="shared" si="3"/>
        <v>391.2</v>
      </c>
      <c r="P31" s="212">
        <f t="shared" si="17"/>
        <v>2286.7199999999998</v>
      </c>
      <c r="Q31" s="225">
        <f t="shared" si="4"/>
        <v>0.38111999999999996</v>
      </c>
      <c r="R31" s="119">
        <f t="shared" si="24"/>
        <v>6</v>
      </c>
      <c r="S31" s="120">
        <f t="shared" si="25"/>
        <v>0.03</v>
      </c>
      <c r="T31" s="126">
        <f t="shared" si="18"/>
        <v>8</v>
      </c>
      <c r="U31" s="127">
        <f t="shared" si="26"/>
        <v>0.04</v>
      </c>
      <c r="V31" s="385"/>
      <c r="W31" s="350">
        <f t="shared" si="5"/>
        <v>8997.6</v>
      </c>
      <c r="X31" s="351">
        <f t="shared" si="19"/>
        <v>11284.32</v>
      </c>
      <c r="Y31" s="354"/>
      <c r="Z31" s="355">
        <f t="shared" si="6"/>
        <v>-5284.32</v>
      </c>
      <c r="AA31" s="356">
        <f t="shared" si="7"/>
        <v>1.88</v>
      </c>
      <c r="AB31" s="357">
        <f t="shared" si="8"/>
        <v>0</v>
      </c>
      <c r="AC31" s="358">
        <f t="shared" si="9"/>
        <v>0</v>
      </c>
      <c r="AD31" s="174">
        <v>12</v>
      </c>
      <c r="AE31" s="388"/>
      <c r="AF31" s="352">
        <f t="shared" si="10"/>
        <v>3.93</v>
      </c>
      <c r="AG31" s="353">
        <f t="shared" si="11"/>
        <v>1.5</v>
      </c>
      <c r="AH31" s="395"/>
      <c r="AI31" s="398">
        <v>12</v>
      </c>
      <c r="AJ31" s="399">
        <f>COUNTIFS('Данные из терминала'!C:C,AI31,'Данные из терминала'!B:B,"sell")</f>
        <v>0</v>
      </c>
      <c r="AK31" s="400">
        <f>COUNTIFS('Данные из терминала'!C:C,AI31,'Данные из терминала'!B:B,"buy")</f>
        <v>0</v>
      </c>
      <c r="AL31" s="401">
        <f>COUNTIFS('Данные из терминала'!C:C,AI31)</f>
        <v>0</v>
      </c>
      <c r="AM31" s="399">
        <f>SUMIFS('Данные из терминала'!E:E,'Данные из терминала'!C:C,AI31,'Данные из терминала'!B:B,"sell")</f>
        <v>0</v>
      </c>
      <c r="AN31" s="400">
        <f>SUMIFS('Данные из терминала'!E:E,'Данные из терминала'!C:C,AI31,'Данные из терминала'!B:B,"buy")</f>
        <v>0</v>
      </c>
      <c r="AO31" s="401">
        <f>SUMIFS('Данные из терминала'!E:E,'Данные из терминала'!C:C,AI31)</f>
        <v>0</v>
      </c>
      <c r="AP31" s="399">
        <f>SUMIFS('Данные из терминала'!N:N,'Данные из терминала'!C:C,AI31,'Данные из терминала'!B:B,"sell")</f>
        <v>0</v>
      </c>
      <c r="AQ31" s="400">
        <f>SUMIFS('Данные из терминала'!N:N,'Данные из терминала'!C:C,AI31,'Данные из терминала'!B:B,"buy")</f>
        <v>0</v>
      </c>
      <c r="AR31" s="401">
        <f>SUMIFS('Данные из терминала'!N:N,'Данные из терминала'!C:C,AI31)</f>
        <v>0</v>
      </c>
      <c r="AS31" s="399">
        <f>ROUND(IF(AJ31&gt;0,AVERAGEIFS('Данные из терминала'!N:N,'Данные из терминала'!C:C,AI31,'Данные из терминала'!B:B,"sell"),0),2)</f>
        <v>0</v>
      </c>
      <c r="AT31" s="400">
        <f>ROUND(IF(AK31&gt;0,AVERAGEIFS('Данные из терминала'!N:N,'Данные из терминала'!C:C,AI31,'Данные из терминала'!B:B,"buy"),0),2)</f>
        <v>0</v>
      </c>
      <c r="AU31" s="401">
        <f>ROUND(IF(AL31&gt;0,AVERAGEIFS('Данные из терминала'!N:N,'Данные из терминала'!C:C,AI31),0),2)</f>
        <v>0</v>
      </c>
      <c r="AV31" s="402">
        <f t="shared" si="20"/>
        <v>0</v>
      </c>
      <c r="AW31" s="403">
        <f t="shared" si="21"/>
        <v>0</v>
      </c>
      <c r="AX31" s="404">
        <f t="shared" si="22"/>
        <v>0</v>
      </c>
      <c r="AY31" s="399">
        <f>IF(AJ31&gt;0,VLOOKUP(AI31,Сводная!A:E,5,0),0)</f>
        <v>0</v>
      </c>
      <c r="AZ31" s="401">
        <f>IF(AK31&gt;0,VLOOKUP(AI31,Сводная!A:B,2,0),0)</f>
        <v>0</v>
      </c>
      <c r="BA31" s="399">
        <f>ROUND(IF(AJ31&gt;0,AVERAGEIFS('Данные из терминала'!L:L,'Данные из терминала'!C:C,AI31,'Данные из терминала'!B:B,"sell"),0),1)</f>
        <v>0</v>
      </c>
      <c r="BB31" s="400">
        <f>ROUND(IF(AK31&gt;0,AVERAGEIFS('Данные из терминала'!L:L,'Данные из терминала'!C:C,AI31,'Данные из терминала'!B:B,"buy"),0),1)</f>
        <v>0</v>
      </c>
      <c r="BC31" s="401">
        <f>ROUND(IF(AL31&gt;0,AVERAGEIFS('Данные из терминала'!L:L,'Данные из терминала'!C:C,AI31),0),1)</f>
        <v>0</v>
      </c>
      <c r="BD31" s="399">
        <f>IF(AJ31&gt;0,VLOOKUP(AI31,Сводная!A:F,6,0),0)</f>
        <v>0</v>
      </c>
      <c r="BE31" s="401">
        <f>IF(AK31&gt;0,VLOOKUP(AI31,Сводная!A:C,3,0),0)</f>
        <v>0</v>
      </c>
      <c r="BF31" s="399">
        <f>ROUND(IF(AJ31&gt;0,AVERAGEIFS('Данные из терминала'!M:M,'Данные из терминала'!C:C,AI31,'Данные из терминала'!B:B,"sell"),0),1)</f>
        <v>0</v>
      </c>
      <c r="BG31" s="400">
        <f>ROUND(IF(AK31&gt;0,AVERAGEIFS('Данные из терминала'!M:M,'Данные из терминала'!C:C,AI31,'Данные из терминала'!B:B,"buy"),0),1)</f>
        <v>0</v>
      </c>
      <c r="BH31" s="401">
        <f>ROUND(IF(AL31&gt;0,AVERAGEIFS('Данные из терминала'!M:M,'Данные из терминала'!C:C,AI31),0),1)</f>
        <v>0</v>
      </c>
      <c r="BI31" s="405">
        <f>IF(AJ31&gt;0,VLOOKUP(AI31,Сводная!A:G,7,0),0)</f>
        <v>0</v>
      </c>
      <c r="BJ31" s="406">
        <f>IF(AK31&gt;0,VLOOKUP(AI31,Сводная!A:D,4,0),0)</f>
        <v>0</v>
      </c>
      <c r="BK31" s="405">
        <f>IF(AJ31&gt;0,AVERAGEIFS('Данные из терминала'!O:O,'Данные из терминала'!C:C,AI31,'Данные из терминала'!B:B,"sell"),0)</f>
        <v>0</v>
      </c>
      <c r="BL31" s="407">
        <f>IF(AK31&gt;0,AVERAGEIFS('Данные из терминала'!O:O,'Данные из терминала'!C:C,AI31,'Данные из терминала'!B:B,"buy"),0)</f>
        <v>0</v>
      </c>
      <c r="BM31" s="406">
        <f>IF(AL31&gt;0,AVERAGEIFS('Данные из терминала'!O:O,'Данные из терминала'!C:C,AI31),0)</f>
        <v>0</v>
      </c>
    </row>
    <row r="32" spans="1:67" ht="15" x14ac:dyDescent="0.25">
      <c r="A32" s="165">
        <v>13</v>
      </c>
      <c r="B32" s="107">
        <f t="shared" si="12"/>
        <v>0</v>
      </c>
      <c r="C32" s="112">
        <f t="shared" si="13"/>
        <v>2</v>
      </c>
      <c r="D32" s="76"/>
      <c r="E32" s="107">
        <f t="shared" si="14"/>
        <v>0</v>
      </c>
      <c r="F32" s="105">
        <f t="shared" si="27"/>
        <v>20</v>
      </c>
      <c r="G32" s="100">
        <f t="shared" si="15"/>
        <v>240</v>
      </c>
      <c r="H32" s="11"/>
      <c r="I32" s="7">
        <f t="shared" si="16"/>
        <v>5</v>
      </c>
      <c r="J32" s="110">
        <f t="shared" si="0"/>
        <v>156.25</v>
      </c>
      <c r="K32" s="8">
        <f t="shared" si="23"/>
        <v>195.37</v>
      </c>
      <c r="L32" s="157"/>
      <c r="M32" s="162">
        <f t="shared" si="1"/>
        <v>2735.18</v>
      </c>
      <c r="N32" s="311">
        <f t="shared" si="2"/>
        <v>0.45586333333333329</v>
      </c>
      <c r="O32" s="159">
        <f t="shared" si="3"/>
        <v>1953.7</v>
      </c>
      <c r="P32" s="212">
        <f t="shared" si="17"/>
        <v>11048.22</v>
      </c>
      <c r="Q32" s="225">
        <f t="shared" si="4"/>
        <v>1.84137</v>
      </c>
      <c r="R32" s="119">
        <f t="shared" si="24"/>
        <v>6</v>
      </c>
      <c r="S32" s="120">
        <f t="shared" si="25"/>
        <v>0.03</v>
      </c>
      <c r="T32" s="126">
        <f t="shared" si="18"/>
        <v>8</v>
      </c>
      <c r="U32" s="127">
        <f t="shared" si="26"/>
        <v>0.03</v>
      </c>
      <c r="V32" s="385"/>
      <c r="W32" s="350">
        <f t="shared" si="5"/>
        <v>44935.1</v>
      </c>
      <c r="X32" s="351">
        <f t="shared" si="19"/>
        <v>55983.32</v>
      </c>
      <c r="Y32" s="354"/>
      <c r="Z32" s="355">
        <f t="shared" si="6"/>
        <v>-49983.32</v>
      </c>
      <c r="AA32" s="356">
        <f t="shared" si="7"/>
        <v>9.33</v>
      </c>
      <c r="AB32" s="357">
        <f t="shared" si="8"/>
        <v>0</v>
      </c>
      <c r="AC32" s="358">
        <f t="shared" si="9"/>
        <v>0</v>
      </c>
      <c r="AD32" s="174">
        <v>13</v>
      </c>
      <c r="AE32" s="388"/>
      <c r="AF32" s="352">
        <f t="shared" si="10"/>
        <v>4.07</v>
      </c>
      <c r="AG32" s="353">
        <f t="shared" si="11"/>
        <v>7.49</v>
      </c>
      <c r="AH32" s="395"/>
      <c r="AI32" s="398">
        <v>13</v>
      </c>
      <c r="AJ32" s="399">
        <f>COUNTIFS('Данные из терминала'!C:C,AI32,'Данные из терминала'!B:B,"sell")</f>
        <v>0</v>
      </c>
      <c r="AK32" s="400">
        <f>COUNTIFS('Данные из терминала'!C:C,AI32,'Данные из терминала'!B:B,"buy")</f>
        <v>0</v>
      </c>
      <c r="AL32" s="401">
        <f>COUNTIFS('Данные из терминала'!C:C,AI32)</f>
        <v>0</v>
      </c>
      <c r="AM32" s="399">
        <f>SUMIFS('Данные из терминала'!E:E,'Данные из терминала'!C:C,AI32,'Данные из терминала'!B:B,"sell")</f>
        <v>0</v>
      </c>
      <c r="AN32" s="400">
        <f>SUMIFS('Данные из терминала'!E:E,'Данные из терминала'!C:C,AI32,'Данные из терминала'!B:B,"buy")</f>
        <v>0</v>
      </c>
      <c r="AO32" s="401">
        <f>SUMIFS('Данные из терминала'!E:E,'Данные из терминала'!C:C,AI32)</f>
        <v>0</v>
      </c>
      <c r="AP32" s="399">
        <f>SUMIFS('Данные из терминала'!N:N,'Данные из терминала'!C:C,AI32,'Данные из терминала'!B:B,"sell")</f>
        <v>0</v>
      </c>
      <c r="AQ32" s="400">
        <f>SUMIFS('Данные из терминала'!N:N,'Данные из терминала'!C:C,AI32,'Данные из терминала'!B:B,"buy")</f>
        <v>0</v>
      </c>
      <c r="AR32" s="401">
        <f>SUMIFS('Данные из терминала'!N:N,'Данные из терминала'!C:C,AI32)</f>
        <v>0</v>
      </c>
      <c r="AS32" s="399">
        <f>ROUND(IF(AJ32&gt;0,AVERAGEIFS('Данные из терминала'!N:N,'Данные из терминала'!C:C,AI32,'Данные из терминала'!B:B,"sell"),0),2)</f>
        <v>0</v>
      </c>
      <c r="AT32" s="400">
        <f>ROUND(IF(AK32&gt;0,AVERAGEIFS('Данные из терминала'!N:N,'Данные из терминала'!C:C,AI32,'Данные из терминала'!B:B,"buy"),0),2)</f>
        <v>0</v>
      </c>
      <c r="AU32" s="401">
        <f>ROUND(IF(AL32&gt;0,AVERAGEIFS('Данные из терминала'!N:N,'Данные из терминала'!C:C,AI32),0),2)</f>
        <v>0</v>
      </c>
      <c r="AV32" s="402">
        <f t="shared" si="20"/>
        <v>0</v>
      </c>
      <c r="AW32" s="403">
        <f t="shared" si="21"/>
        <v>0</v>
      </c>
      <c r="AX32" s="404">
        <f t="shared" si="22"/>
        <v>0</v>
      </c>
      <c r="AY32" s="399">
        <f>IF(AJ32&gt;0,VLOOKUP(AI32,Сводная!A:E,5,0),0)</f>
        <v>0</v>
      </c>
      <c r="AZ32" s="401">
        <f>IF(AK32&gt;0,VLOOKUP(AI32,Сводная!A:B,2,0),0)</f>
        <v>0</v>
      </c>
      <c r="BA32" s="399">
        <f>ROUND(IF(AJ32&gt;0,AVERAGEIFS('Данные из терминала'!L:L,'Данные из терминала'!C:C,AI32,'Данные из терминала'!B:B,"sell"),0),1)</f>
        <v>0</v>
      </c>
      <c r="BB32" s="400">
        <f>ROUND(IF(AK32&gt;0,AVERAGEIFS('Данные из терминала'!L:L,'Данные из терминала'!C:C,AI32,'Данные из терминала'!B:B,"buy"),0),1)</f>
        <v>0</v>
      </c>
      <c r="BC32" s="401">
        <f>ROUND(IF(AL32&gt;0,AVERAGEIFS('Данные из терминала'!L:L,'Данные из терминала'!C:C,AI32),0),1)</f>
        <v>0</v>
      </c>
      <c r="BD32" s="399">
        <f>IF(AJ32&gt;0,VLOOKUP(AI32,Сводная!A:F,6,0),0)</f>
        <v>0</v>
      </c>
      <c r="BE32" s="401">
        <f>IF(AK32&gt;0,VLOOKUP(AI32,Сводная!A:C,3,0),0)</f>
        <v>0</v>
      </c>
      <c r="BF32" s="399">
        <f>ROUND(IF(AJ32&gt;0,AVERAGEIFS('Данные из терминала'!M:M,'Данные из терминала'!C:C,AI32,'Данные из терминала'!B:B,"sell"),0),1)</f>
        <v>0</v>
      </c>
      <c r="BG32" s="400">
        <f>ROUND(IF(AK32&gt;0,AVERAGEIFS('Данные из терминала'!M:M,'Данные из терминала'!C:C,AI32,'Данные из терминала'!B:B,"buy"),0),1)</f>
        <v>0</v>
      </c>
      <c r="BH32" s="401">
        <f>ROUND(IF(AL32&gt;0,AVERAGEIFS('Данные из терминала'!M:M,'Данные из терминала'!C:C,AI32),0),1)</f>
        <v>0</v>
      </c>
      <c r="BI32" s="405">
        <f>IF(AJ32&gt;0,VLOOKUP(AI32,Сводная!A:G,7,0),0)</f>
        <v>0</v>
      </c>
      <c r="BJ32" s="406">
        <f>IF(AK32&gt;0,VLOOKUP(AI32,Сводная!A:D,4,0),0)</f>
        <v>0</v>
      </c>
      <c r="BK32" s="405">
        <f>IF(AJ32&gt;0,AVERAGEIFS('Данные из терминала'!O:O,'Данные из терминала'!C:C,AI32,'Данные из терминала'!B:B,"sell"),0)</f>
        <v>0</v>
      </c>
      <c r="BL32" s="407">
        <f>IF(AK32&gt;0,AVERAGEIFS('Данные из терминала'!O:O,'Данные из терминала'!C:C,AI32,'Данные из терминала'!B:B,"buy"),0)</f>
        <v>0</v>
      </c>
      <c r="BM32" s="406">
        <f>IF(AL32&gt;0,AVERAGEIFS('Данные из терминала'!O:O,'Данные из терминала'!C:C,AI32),0)</f>
        <v>0</v>
      </c>
    </row>
    <row r="33" spans="1:65" ht="15" x14ac:dyDescent="0.25">
      <c r="A33" s="165">
        <v>14</v>
      </c>
      <c r="B33" s="107">
        <f t="shared" si="12"/>
        <v>0</v>
      </c>
      <c r="C33" s="112">
        <f t="shared" si="13"/>
        <v>2</v>
      </c>
      <c r="D33" s="76"/>
      <c r="E33" s="107">
        <f t="shared" si="14"/>
        <v>0</v>
      </c>
      <c r="F33" s="105">
        <f t="shared" si="27"/>
        <v>20</v>
      </c>
      <c r="G33" s="100">
        <f t="shared" si="15"/>
        <v>260</v>
      </c>
      <c r="H33" s="11"/>
      <c r="I33" s="7">
        <f t="shared" si="16"/>
        <v>5</v>
      </c>
      <c r="J33" s="110">
        <f t="shared" si="0"/>
        <v>781.25</v>
      </c>
      <c r="K33" s="8">
        <f t="shared" si="23"/>
        <v>976.62</v>
      </c>
      <c r="L33" s="157"/>
      <c r="M33" s="162">
        <f t="shared" si="1"/>
        <v>13672.68</v>
      </c>
      <c r="N33" s="311">
        <f t="shared" si="2"/>
        <v>2.2787800000000002</v>
      </c>
      <c r="O33" s="159">
        <f t="shared" si="3"/>
        <v>9766.2000000000007</v>
      </c>
      <c r="P33" s="212">
        <f t="shared" si="17"/>
        <v>54809.72</v>
      </c>
      <c r="Q33" s="225">
        <f t="shared" si="4"/>
        <v>9.1349533333333337</v>
      </c>
      <c r="R33" s="119">
        <f t="shared" si="24"/>
        <v>6</v>
      </c>
      <c r="S33" s="120">
        <f t="shared" si="25"/>
        <v>0.02</v>
      </c>
      <c r="T33" s="126">
        <f t="shared" si="18"/>
        <v>8</v>
      </c>
      <c r="U33" s="127">
        <f t="shared" si="26"/>
        <v>0.03</v>
      </c>
      <c r="V33" s="385"/>
      <c r="W33" s="350">
        <f t="shared" si="5"/>
        <v>224622.6</v>
      </c>
      <c r="X33" s="351">
        <f t="shared" si="19"/>
        <v>279432.32000000001</v>
      </c>
      <c r="Y33" s="354"/>
      <c r="Z33" s="355">
        <f t="shared" si="6"/>
        <v>-273432.32000000001</v>
      </c>
      <c r="AA33" s="356">
        <f t="shared" si="7"/>
        <v>46.57</v>
      </c>
      <c r="AB33" s="357">
        <f t="shared" si="8"/>
        <v>0</v>
      </c>
      <c r="AC33" s="358">
        <f t="shared" si="9"/>
        <v>0</v>
      </c>
      <c r="AD33" s="174">
        <v>14</v>
      </c>
      <c r="AE33" s="388"/>
      <c r="AF33" s="352">
        <f t="shared" si="10"/>
        <v>4.0999999999999996</v>
      </c>
      <c r="AG33" s="353">
        <f t="shared" si="11"/>
        <v>37.44</v>
      </c>
      <c r="AH33" s="395"/>
      <c r="AI33" s="398">
        <v>14</v>
      </c>
      <c r="AJ33" s="399">
        <f>COUNTIFS('Данные из терминала'!C:C,AI33,'Данные из терминала'!B:B,"sell")</f>
        <v>0</v>
      </c>
      <c r="AK33" s="400">
        <f>COUNTIFS('Данные из терминала'!C:C,AI33,'Данные из терминала'!B:B,"buy")</f>
        <v>0</v>
      </c>
      <c r="AL33" s="401">
        <f>COUNTIFS('Данные из терминала'!C:C,AI33)</f>
        <v>0</v>
      </c>
      <c r="AM33" s="399">
        <f>SUMIFS('Данные из терминала'!E:E,'Данные из терминала'!C:C,AI33,'Данные из терминала'!B:B,"sell")</f>
        <v>0</v>
      </c>
      <c r="AN33" s="400">
        <f>SUMIFS('Данные из терминала'!E:E,'Данные из терминала'!C:C,AI33,'Данные из терминала'!B:B,"buy")</f>
        <v>0</v>
      </c>
      <c r="AO33" s="401">
        <f>SUMIFS('Данные из терминала'!E:E,'Данные из терминала'!C:C,AI33)</f>
        <v>0</v>
      </c>
      <c r="AP33" s="399">
        <f>SUMIFS('Данные из терминала'!N:N,'Данные из терминала'!C:C,AI33,'Данные из терминала'!B:B,"sell")</f>
        <v>0</v>
      </c>
      <c r="AQ33" s="400">
        <f>SUMIFS('Данные из терминала'!N:N,'Данные из терминала'!C:C,AI33,'Данные из терминала'!B:B,"buy")</f>
        <v>0</v>
      </c>
      <c r="AR33" s="401">
        <f>SUMIFS('Данные из терминала'!N:N,'Данные из терминала'!C:C,AI33)</f>
        <v>0</v>
      </c>
      <c r="AS33" s="399">
        <f>ROUND(IF(AJ33&gt;0,AVERAGEIFS('Данные из терминала'!N:N,'Данные из терминала'!C:C,AI33,'Данные из терминала'!B:B,"sell"),0),2)</f>
        <v>0</v>
      </c>
      <c r="AT33" s="400">
        <f>ROUND(IF(AK33&gt;0,AVERAGEIFS('Данные из терминала'!N:N,'Данные из терминала'!C:C,AI33,'Данные из терминала'!B:B,"buy"),0),2)</f>
        <v>0</v>
      </c>
      <c r="AU33" s="401">
        <f>ROUND(IF(AL33&gt;0,AVERAGEIFS('Данные из терминала'!N:N,'Данные из терминала'!C:C,AI33),0),2)</f>
        <v>0</v>
      </c>
      <c r="AV33" s="402">
        <f t="shared" si="20"/>
        <v>0</v>
      </c>
      <c r="AW33" s="403">
        <f t="shared" si="21"/>
        <v>0</v>
      </c>
      <c r="AX33" s="404">
        <f t="shared" si="22"/>
        <v>0</v>
      </c>
      <c r="AY33" s="399">
        <f>IF(AJ33&gt;0,VLOOKUP(AI33,Сводная!A:E,5,0),0)</f>
        <v>0</v>
      </c>
      <c r="AZ33" s="401">
        <f>IF(AK33&gt;0,VLOOKUP(AI33,Сводная!A:B,2,0),0)</f>
        <v>0</v>
      </c>
      <c r="BA33" s="399">
        <f>ROUND(IF(AJ33&gt;0,AVERAGEIFS('Данные из терминала'!L:L,'Данные из терминала'!C:C,AI33,'Данные из терминала'!B:B,"sell"),0),1)</f>
        <v>0</v>
      </c>
      <c r="BB33" s="400">
        <f>ROUND(IF(AK33&gt;0,AVERAGEIFS('Данные из терминала'!L:L,'Данные из терминала'!C:C,AI33,'Данные из терминала'!B:B,"buy"),0),1)</f>
        <v>0</v>
      </c>
      <c r="BC33" s="401">
        <f>ROUND(IF(AL33&gt;0,AVERAGEIFS('Данные из терминала'!L:L,'Данные из терминала'!C:C,AI33),0),1)</f>
        <v>0</v>
      </c>
      <c r="BD33" s="399">
        <f>IF(AJ33&gt;0,VLOOKUP(AI33,Сводная!A:F,6,0),0)</f>
        <v>0</v>
      </c>
      <c r="BE33" s="401">
        <f>IF(AK33&gt;0,VLOOKUP(AI33,Сводная!A:C,3,0),0)</f>
        <v>0</v>
      </c>
      <c r="BF33" s="399">
        <f>ROUND(IF(AJ33&gt;0,AVERAGEIFS('Данные из терминала'!M:M,'Данные из терминала'!C:C,AI33,'Данные из терминала'!B:B,"sell"),0),1)</f>
        <v>0</v>
      </c>
      <c r="BG33" s="400">
        <f>ROUND(IF(AK33&gt;0,AVERAGEIFS('Данные из терминала'!M:M,'Данные из терминала'!C:C,AI33,'Данные из терминала'!B:B,"buy"),0),1)</f>
        <v>0</v>
      </c>
      <c r="BH33" s="401">
        <f>ROUND(IF(AL33&gt;0,AVERAGEIFS('Данные из терминала'!M:M,'Данные из терминала'!C:C,AI33),0),1)</f>
        <v>0</v>
      </c>
      <c r="BI33" s="405">
        <f>IF(AJ33&gt;0,VLOOKUP(AI33,Сводная!A:G,7,0),0)</f>
        <v>0</v>
      </c>
      <c r="BJ33" s="406">
        <f>IF(AK33&gt;0,VLOOKUP(AI33,Сводная!A:D,4,0),0)</f>
        <v>0</v>
      </c>
      <c r="BK33" s="405">
        <f>IF(AJ33&gt;0,AVERAGEIFS('Данные из терминала'!O:O,'Данные из терминала'!C:C,AI33,'Данные из терминала'!B:B,"sell"),0)</f>
        <v>0</v>
      </c>
      <c r="BL33" s="407">
        <f>IF(AK33&gt;0,AVERAGEIFS('Данные из терминала'!O:O,'Данные из терминала'!C:C,AI33,'Данные из терминала'!B:B,"buy"),0)</f>
        <v>0</v>
      </c>
      <c r="BM33" s="406">
        <f>IF(AL33&gt;0,AVERAGEIFS('Данные из терминала'!O:O,'Данные из терминала'!C:C,AI33),0)</f>
        <v>0</v>
      </c>
    </row>
    <row r="34" spans="1:65" ht="15" x14ac:dyDescent="0.25">
      <c r="A34" s="165">
        <v>15</v>
      </c>
      <c r="B34" s="108">
        <f t="shared" si="12"/>
        <v>0</v>
      </c>
      <c r="C34" s="102">
        <f t="shared" si="13"/>
        <v>2</v>
      </c>
      <c r="D34" s="9"/>
      <c r="E34" s="108">
        <f t="shared" si="14"/>
        <v>0</v>
      </c>
      <c r="F34" s="101">
        <f t="shared" si="27"/>
        <v>20</v>
      </c>
      <c r="G34" s="102">
        <f t="shared" si="15"/>
        <v>280</v>
      </c>
      <c r="H34" s="9"/>
      <c r="I34" s="13">
        <f t="shared" si="16"/>
        <v>5</v>
      </c>
      <c r="J34" s="14">
        <f t="shared" si="0"/>
        <v>3906.25</v>
      </c>
      <c r="K34" s="15">
        <f t="shared" si="23"/>
        <v>4882.87</v>
      </c>
      <c r="L34" s="157"/>
      <c r="M34" s="163">
        <f t="shared" si="1"/>
        <v>68360.179999999993</v>
      </c>
      <c r="N34" s="312">
        <f t="shared" si="2"/>
        <v>11.393363333333332</v>
      </c>
      <c r="O34" s="160">
        <f t="shared" si="3"/>
        <v>48828.7</v>
      </c>
      <c r="P34" s="213">
        <f t="shared" si="17"/>
        <v>273571.21999999997</v>
      </c>
      <c r="Q34" s="224">
        <f t="shared" si="4"/>
        <v>45.59520333333333</v>
      </c>
      <c r="R34" s="121">
        <f t="shared" si="24"/>
        <v>6</v>
      </c>
      <c r="S34" s="122">
        <f t="shared" si="25"/>
        <v>0.02</v>
      </c>
      <c r="T34" s="130">
        <f t="shared" si="18"/>
        <v>8</v>
      </c>
      <c r="U34" s="131">
        <f t="shared" si="26"/>
        <v>0.03</v>
      </c>
      <c r="V34" s="385"/>
      <c r="W34" s="359">
        <f t="shared" si="5"/>
        <v>1123060.1000000001</v>
      </c>
      <c r="X34" s="360">
        <f t="shared" si="19"/>
        <v>1396631.32</v>
      </c>
      <c r="Y34" s="354"/>
      <c r="Z34" s="363">
        <f t="shared" si="6"/>
        <v>-1390631.32</v>
      </c>
      <c r="AA34" s="364">
        <f t="shared" si="7"/>
        <v>232.77</v>
      </c>
      <c r="AB34" s="365">
        <f t="shared" si="8"/>
        <v>0</v>
      </c>
      <c r="AC34" s="366">
        <f t="shared" si="9"/>
        <v>0</v>
      </c>
      <c r="AD34" s="174">
        <v>15</v>
      </c>
      <c r="AE34" s="388"/>
      <c r="AF34" s="361">
        <f t="shared" si="10"/>
        <v>4.1100000000000003</v>
      </c>
      <c r="AG34" s="362">
        <f t="shared" si="11"/>
        <v>187.18</v>
      </c>
      <c r="AH34" s="395"/>
      <c r="AI34" s="174">
        <v>15</v>
      </c>
      <c r="AJ34" s="409">
        <f>COUNTIFS('Данные из терминала'!C:C,AI34,'Данные из терминала'!B:B,"sell")</f>
        <v>0</v>
      </c>
      <c r="AK34" s="409">
        <f>COUNTIFS('Данные из терминала'!C:C,AI34,'Данные из терминала'!B:B,"buy")</f>
        <v>0</v>
      </c>
      <c r="AL34" s="410">
        <f>COUNTIFS('Данные из терминала'!C:C,AI34)</f>
        <v>0</v>
      </c>
      <c r="AM34" s="409">
        <f>SUMIFS('Данные из терминала'!E:E,'Данные из терминала'!C:C,AI34,'Данные из терминала'!B:B,"sell")</f>
        <v>0</v>
      </c>
      <c r="AN34" s="409">
        <f>SUMIFS('Данные из терминала'!E:E,'Данные из терминала'!C:C,AI34,'Данные из терминала'!B:B,"buy")</f>
        <v>0</v>
      </c>
      <c r="AO34" s="410">
        <f>SUMIFS('Данные из терминала'!E:E,'Данные из терминала'!C:C,AI34)</f>
        <v>0</v>
      </c>
      <c r="AP34" s="409">
        <f>SUMIFS('Данные из терминала'!N:N,'Данные из терминала'!C:C,AI34,'Данные из терминала'!B:B,"sell")</f>
        <v>0</v>
      </c>
      <c r="AQ34" s="409">
        <f>SUMIFS('Данные из терминала'!N:N,'Данные из терминала'!C:C,AI34,'Данные из терминала'!B:B,"buy")</f>
        <v>0</v>
      </c>
      <c r="AR34" s="410">
        <f>SUMIFS('Данные из терминала'!N:N,'Данные из терминала'!C:C,AI34)</f>
        <v>0</v>
      </c>
      <c r="AS34" s="409">
        <f>ROUND(IF(AJ34&gt;0,AVERAGEIFS('Данные из терминала'!N:N,'Данные из терминала'!C:C,AI34,'Данные из терминала'!B:B,"sell"),0),2)</f>
        <v>0</v>
      </c>
      <c r="AT34" s="409">
        <f>ROUND(IF(AK34&gt;0,AVERAGEIFS('Данные из терминала'!N:N,'Данные из терминала'!C:C,AI34,'Данные из терминала'!B:B,"buy"),0),2)</f>
        <v>0</v>
      </c>
      <c r="AU34" s="410">
        <f>ROUND(IF(AL34&gt;0,AVERAGEIFS('Данные из терминала'!N:N,'Данные из терминала'!C:C,AI34),0),2)</f>
        <v>0</v>
      </c>
      <c r="AV34" s="411">
        <f t="shared" si="20"/>
        <v>0</v>
      </c>
      <c r="AW34" s="411">
        <f t="shared" si="21"/>
        <v>0</v>
      </c>
      <c r="AX34" s="411">
        <f t="shared" si="22"/>
        <v>0</v>
      </c>
      <c r="AY34" s="408">
        <f>IF(AJ34&gt;0,VLOOKUP(AI34,Сводная!A:E,5,0),0)</f>
        <v>0</v>
      </c>
      <c r="AZ34" s="410">
        <f>IF(AK34&gt;0,VLOOKUP(AI34,Сводная!A:B,2,0),0)</f>
        <v>0</v>
      </c>
      <c r="BA34" s="409">
        <f>ROUND(IF(AJ34&gt;0,AVERAGEIFS('Данные из терминала'!L:L,'Данные из терминала'!C:C,AI34,'Данные из терминала'!B:B,"sell"),0),1)</f>
        <v>0</v>
      </c>
      <c r="BB34" s="409">
        <f>ROUND(IF(AK34&gt;0,AVERAGEIFS('Данные из терминала'!L:L,'Данные из терминала'!C:C,AI34,'Данные из терминала'!B:B,"buy"),0),1)</f>
        <v>0</v>
      </c>
      <c r="BC34" s="409">
        <f>ROUND(IF(AL34&gt;0,AVERAGEIFS('Данные из терминала'!L:L,'Данные из терминала'!C:C,AI34),0),1)</f>
        <v>0</v>
      </c>
      <c r="BD34" s="408">
        <f>IF(AJ34&gt;0,VLOOKUP(AI34,Сводная!A:F,6,0),0)</f>
        <v>0</v>
      </c>
      <c r="BE34" s="410">
        <f>IF(AK34&gt;0,VLOOKUP(AI34,Сводная!A:C,3,0),0)</f>
        <v>0</v>
      </c>
      <c r="BF34" s="409">
        <f>ROUND(IF(AJ34&gt;0,AVERAGEIFS('Данные из терминала'!M:M,'Данные из терминала'!C:C,AI34,'Данные из терминала'!B:B,"sell"),0),1)</f>
        <v>0</v>
      </c>
      <c r="BG34" s="409">
        <f>ROUND(IF(AK34&gt;0,AVERAGEIFS('Данные из терминала'!M:M,'Данные из терминала'!C:C,AI34,'Данные из терминала'!B:B,"buy"),0),1)</f>
        <v>0</v>
      </c>
      <c r="BH34" s="409">
        <f>ROUND(IF(AL34&gt;0,AVERAGEIFS('Данные из терминала'!M:M,'Данные из терминала'!C:C,AI34),0),1)</f>
        <v>0</v>
      </c>
      <c r="BI34" s="412">
        <f>IF(AJ34&gt;0,VLOOKUP(AI34,Сводная!A:G,7,0),0)</f>
        <v>0</v>
      </c>
      <c r="BJ34" s="413">
        <f>IF(AK34&gt;0,VLOOKUP(AI34,Сводная!A:D,4,0),0)</f>
        <v>0</v>
      </c>
      <c r="BK34" s="414">
        <f>IF(AJ34&gt;0,AVERAGEIFS('Данные из терминала'!O:O,'Данные из терминала'!C:C,AI34,'Данные из терминала'!B:B,"sell"),0)</f>
        <v>0</v>
      </c>
      <c r="BL34" s="414">
        <f>IF(AK34&gt;0,AVERAGEIFS('Данные из терминала'!O:O,'Данные из терминала'!C:C,AI34,'Данные из терминала'!B:B,"buy"),0)</f>
        <v>0</v>
      </c>
      <c r="BM34" s="413">
        <f>IF(AL34&gt;0,AVERAGEIFS('Данные из терминала'!O:O,'Данные из терминала'!C:C,AI34),0)</f>
        <v>0</v>
      </c>
    </row>
    <row r="35" spans="1:65" ht="15" x14ac:dyDescent="0.25">
      <c r="A35" s="165">
        <v>16</v>
      </c>
      <c r="B35" s="107">
        <f t="shared" si="12"/>
        <v>0</v>
      </c>
      <c r="C35" s="112">
        <f t="shared" si="13"/>
        <v>2</v>
      </c>
      <c r="D35" s="76"/>
      <c r="E35" s="107">
        <f t="shared" si="14"/>
        <v>0</v>
      </c>
      <c r="F35" s="105">
        <f t="shared" si="27"/>
        <v>20</v>
      </c>
      <c r="G35" s="100">
        <f t="shared" si="15"/>
        <v>300</v>
      </c>
      <c r="H35" s="11"/>
      <c r="I35" s="7">
        <f t="shared" si="16"/>
        <v>5</v>
      </c>
      <c r="J35" s="110">
        <f t="shared" si="0"/>
        <v>19531.25</v>
      </c>
      <c r="K35" s="8">
        <f t="shared" si="23"/>
        <v>24414.12</v>
      </c>
      <c r="L35" s="157"/>
      <c r="M35" s="162">
        <f t="shared" si="1"/>
        <v>341797.68</v>
      </c>
      <c r="N35" s="311">
        <f t="shared" si="2"/>
        <v>56.966279999999998</v>
      </c>
      <c r="O35" s="159">
        <f t="shared" si="3"/>
        <v>244141.2</v>
      </c>
      <c r="P35" s="212">
        <f t="shared" si="17"/>
        <v>1367332.72</v>
      </c>
      <c r="Q35" s="225">
        <f t="shared" si="4"/>
        <v>227.88878666666668</v>
      </c>
      <c r="R35" s="119">
        <f t="shared" si="24"/>
        <v>6</v>
      </c>
      <c r="S35" s="120">
        <f t="shared" si="25"/>
        <v>0.02</v>
      </c>
      <c r="T35" s="126">
        <f t="shared" si="18"/>
        <v>8</v>
      </c>
      <c r="U35" s="127">
        <f t="shared" si="26"/>
        <v>0.03</v>
      </c>
      <c r="V35" s="385"/>
      <c r="W35" s="350">
        <f t="shared" si="5"/>
        <v>5615247.5999999996</v>
      </c>
      <c r="X35" s="351">
        <f t="shared" si="19"/>
        <v>6982580.3200000003</v>
      </c>
      <c r="Y35" s="354"/>
      <c r="Z35" s="355">
        <f t="shared" si="6"/>
        <v>-6976580.3200000003</v>
      </c>
      <c r="AA35" s="356">
        <f t="shared" si="7"/>
        <v>1163.76</v>
      </c>
      <c r="AB35" s="357">
        <f t="shared" si="8"/>
        <v>0</v>
      </c>
      <c r="AC35" s="358">
        <f t="shared" si="9"/>
        <v>0</v>
      </c>
      <c r="AD35" s="174">
        <v>16</v>
      </c>
      <c r="AE35" s="388"/>
      <c r="AF35" s="352">
        <f t="shared" si="10"/>
        <v>4.1100000000000003</v>
      </c>
      <c r="AG35" s="353">
        <f t="shared" si="11"/>
        <v>935.87</v>
      </c>
      <c r="AH35" s="395"/>
      <c r="AI35" s="398">
        <v>16</v>
      </c>
      <c r="AJ35" s="399">
        <f>COUNTIFS('Данные из терминала'!C:C,AI35,'Данные из терминала'!B:B,"sell")</f>
        <v>0</v>
      </c>
      <c r="AK35" s="400">
        <f>COUNTIFS('Данные из терминала'!C:C,AI35,'Данные из терминала'!B:B,"buy")</f>
        <v>0</v>
      </c>
      <c r="AL35" s="401">
        <f>COUNTIFS('Данные из терминала'!C:C,AI35)</f>
        <v>0</v>
      </c>
      <c r="AM35" s="399">
        <f>SUMIFS('Данные из терминала'!E:E,'Данные из терминала'!C:C,AI35,'Данные из терминала'!B:B,"sell")</f>
        <v>0</v>
      </c>
      <c r="AN35" s="400">
        <f>SUMIFS('Данные из терминала'!E:E,'Данные из терминала'!C:C,AI35,'Данные из терминала'!B:B,"buy")</f>
        <v>0</v>
      </c>
      <c r="AO35" s="401">
        <f>SUMIFS('Данные из терминала'!E:E,'Данные из терминала'!C:C,AI35)</f>
        <v>0</v>
      </c>
      <c r="AP35" s="399">
        <f>SUMIFS('Данные из терминала'!N:N,'Данные из терминала'!C:C,AI35,'Данные из терминала'!B:B,"sell")</f>
        <v>0</v>
      </c>
      <c r="AQ35" s="400">
        <f>SUMIFS('Данные из терминала'!N:N,'Данные из терминала'!C:C,AI35,'Данные из терминала'!B:B,"buy")</f>
        <v>0</v>
      </c>
      <c r="AR35" s="401">
        <f>SUMIFS('Данные из терминала'!N:N,'Данные из терминала'!C:C,AI35)</f>
        <v>0</v>
      </c>
      <c r="AS35" s="399">
        <f>ROUND(IF(AJ35&gt;0,AVERAGEIFS('Данные из терминала'!N:N,'Данные из терминала'!C:C,AI35,'Данные из терминала'!B:B,"sell"),0),2)</f>
        <v>0</v>
      </c>
      <c r="AT35" s="400">
        <f>ROUND(IF(AK35&gt;0,AVERAGEIFS('Данные из терминала'!N:N,'Данные из терминала'!C:C,AI35,'Данные из терминала'!B:B,"buy"),0),2)</f>
        <v>0</v>
      </c>
      <c r="AU35" s="401">
        <f>ROUND(IF(AL35&gt;0,AVERAGEIFS('Данные из терминала'!N:N,'Данные из терминала'!C:C,AI35),0),2)</f>
        <v>0</v>
      </c>
      <c r="AV35" s="402">
        <f t="shared" si="20"/>
        <v>0</v>
      </c>
      <c r="AW35" s="403">
        <f t="shared" si="21"/>
        <v>0</v>
      </c>
      <c r="AX35" s="404">
        <f t="shared" si="22"/>
        <v>0</v>
      </c>
      <c r="AY35" s="399">
        <f>IF(AJ35&gt;0,VLOOKUP(AI35,Сводная!A:E,5,0),0)</f>
        <v>0</v>
      </c>
      <c r="AZ35" s="401">
        <f>IF(AK35&gt;0,VLOOKUP(AI35,Сводная!A:B,2,0),0)</f>
        <v>0</v>
      </c>
      <c r="BA35" s="399">
        <f>ROUND(IF(AJ35&gt;0,AVERAGEIFS('Данные из терминала'!L:L,'Данные из терминала'!C:C,AI35,'Данные из терминала'!B:B,"sell"),0),1)</f>
        <v>0</v>
      </c>
      <c r="BB35" s="400">
        <f>ROUND(IF(AK35&gt;0,AVERAGEIFS('Данные из терминала'!L:L,'Данные из терминала'!C:C,AI35,'Данные из терминала'!B:B,"buy"),0),1)</f>
        <v>0</v>
      </c>
      <c r="BC35" s="401">
        <f>ROUND(IF(AL35&gt;0,AVERAGEIFS('Данные из терминала'!L:L,'Данные из терминала'!C:C,AI35),0),1)</f>
        <v>0</v>
      </c>
      <c r="BD35" s="399">
        <f>IF(AJ35&gt;0,VLOOKUP(AI35,Сводная!A:F,6,0),0)</f>
        <v>0</v>
      </c>
      <c r="BE35" s="401">
        <f>IF(AK35&gt;0,VLOOKUP(AI35,Сводная!A:C,3,0),0)</f>
        <v>0</v>
      </c>
      <c r="BF35" s="399">
        <f>ROUND(IF(AJ35&gt;0,AVERAGEIFS('Данные из терминала'!M:M,'Данные из терминала'!C:C,AI35,'Данные из терминала'!B:B,"sell"),0),1)</f>
        <v>0</v>
      </c>
      <c r="BG35" s="400">
        <f>ROUND(IF(AK35&gt;0,AVERAGEIFS('Данные из терминала'!M:M,'Данные из терминала'!C:C,AI35,'Данные из терминала'!B:B,"buy"),0),1)</f>
        <v>0</v>
      </c>
      <c r="BH35" s="401">
        <f>ROUND(IF(AL35&gt;0,AVERAGEIFS('Данные из терминала'!M:M,'Данные из терминала'!C:C,AI35),0),1)</f>
        <v>0</v>
      </c>
      <c r="BI35" s="405">
        <f>IF(AJ35&gt;0,VLOOKUP(AI35,Сводная!A:G,7,0),0)</f>
        <v>0</v>
      </c>
      <c r="BJ35" s="406">
        <f>IF(AK35&gt;0,VLOOKUP(AI35,Сводная!A:D,4,0),0)</f>
        <v>0</v>
      </c>
      <c r="BK35" s="405">
        <f>IF(AJ35&gt;0,AVERAGEIFS('Данные из терминала'!O:O,'Данные из терминала'!C:C,AI35,'Данные из терминала'!B:B,"sell"),0)</f>
        <v>0</v>
      </c>
      <c r="BL35" s="407">
        <f>IF(AK35&gt;0,AVERAGEIFS('Данные из терминала'!O:O,'Данные из терминала'!C:C,AI35,'Данные из терминала'!B:B,"buy"),0)</f>
        <v>0</v>
      </c>
      <c r="BM35" s="406">
        <f>IF(AL35&gt;0,AVERAGEIFS('Данные из терминала'!O:O,'Данные из терминала'!C:C,AI35),0)</f>
        <v>0</v>
      </c>
    </row>
    <row r="36" spans="1:65" ht="15" x14ac:dyDescent="0.25">
      <c r="A36" s="165">
        <v>17</v>
      </c>
      <c r="B36" s="107">
        <f t="shared" si="12"/>
        <v>0</v>
      </c>
      <c r="C36" s="112">
        <f t="shared" si="13"/>
        <v>2</v>
      </c>
      <c r="D36" s="76"/>
      <c r="E36" s="107">
        <f t="shared" si="14"/>
        <v>0</v>
      </c>
      <c r="F36" s="105">
        <f t="shared" si="27"/>
        <v>20</v>
      </c>
      <c r="G36" s="100">
        <f t="shared" si="15"/>
        <v>320</v>
      </c>
      <c r="H36" s="11"/>
      <c r="I36" s="7">
        <f t="shared" si="16"/>
        <v>5</v>
      </c>
      <c r="J36" s="110">
        <f t="shared" si="0"/>
        <v>97656.25</v>
      </c>
      <c r="K36" s="8">
        <f t="shared" si="23"/>
        <v>122070.37</v>
      </c>
      <c r="L36" s="157"/>
      <c r="M36" s="162">
        <f t="shared" si="1"/>
        <v>1708985.18</v>
      </c>
      <c r="N36" s="311">
        <f t="shared" si="2"/>
        <v>284.8308633333333</v>
      </c>
      <c r="O36" s="159">
        <f t="shared" si="3"/>
        <v>1220703.7</v>
      </c>
      <c r="P36" s="212">
        <f t="shared" si="17"/>
        <v>6836094.2199999997</v>
      </c>
      <c r="Q36" s="225">
        <f t="shared" si="4"/>
        <v>1139.3490366666667</v>
      </c>
      <c r="R36" s="119">
        <f t="shared" si="24"/>
        <v>6</v>
      </c>
      <c r="S36" s="120">
        <f t="shared" si="25"/>
        <v>0.02</v>
      </c>
      <c r="T36" s="126">
        <f t="shared" si="18"/>
        <v>8</v>
      </c>
      <c r="U36" s="127">
        <f t="shared" si="26"/>
        <v>0.03</v>
      </c>
      <c r="V36" s="385"/>
      <c r="W36" s="350">
        <f t="shared" si="5"/>
        <v>28076185.100000001</v>
      </c>
      <c r="X36" s="351">
        <f t="shared" si="19"/>
        <v>34912279.32</v>
      </c>
      <c r="Y36" s="354"/>
      <c r="Z36" s="355">
        <f t="shared" si="6"/>
        <v>-34906279.32</v>
      </c>
      <c r="AA36" s="356">
        <f t="shared" si="7"/>
        <v>5818.71</v>
      </c>
      <c r="AB36" s="357">
        <f t="shared" si="8"/>
        <v>0</v>
      </c>
      <c r="AC36" s="358">
        <f t="shared" si="9"/>
        <v>0</v>
      </c>
      <c r="AD36" s="174">
        <v>17</v>
      </c>
      <c r="AE36" s="388"/>
      <c r="AF36" s="352">
        <f t="shared" si="10"/>
        <v>4.1100000000000003</v>
      </c>
      <c r="AG36" s="353">
        <f t="shared" si="11"/>
        <v>4679.3599999999997</v>
      </c>
      <c r="AH36" s="395"/>
      <c r="AI36" s="398">
        <v>17</v>
      </c>
      <c r="AJ36" s="399">
        <f>COUNTIFS('Данные из терминала'!C:C,AI36,'Данные из терминала'!B:B,"sell")</f>
        <v>0</v>
      </c>
      <c r="AK36" s="400">
        <f>COUNTIFS('Данные из терминала'!C:C,AI36,'Данные из терминала'!B:B,"buy")</f>
        <v>0</v>
      </c>
      <c r="AL36" s="401">
        <f>COUNTIFS('Данные из терминала'!C:C,AI36)</f>
        <v>0</v>
      </c>
      <c r="AM36" s="399">
        <f>SUMIFS('Данные из терминала'!E:E,'Данные из терминала'!C:C,AI36,'Данные из терминала'!B:B,"sell")</f>
        <v>0</v>
      </c>
      <c r="AN36" s="400">
        <f>SUMIFS('Данные из терминала'!E:E,'Данные из терминала'!C:C,AI36,'Данные из терминала'!B:B,"buy")</f>
        <v>0</v>
      </c>
      <c r="AO36" s="401">
        <f>SUMIFS('Данные из терминала'!E:E,'Данные из терминала'!C:C,AI36)</f>
        <v>0</v>
      </c>
      <c r="AP36" s="399">
        <f>SUMIFS('Данные из терминала'!N:N,'Данные из терминала'!C:C,AI36,'Данные из терминала'!B:B,"sell")</f>
        <v>0</v>
      </c>
      <c r="AQ36" s="400">
        <f>SUMIFS('Данные из терминала'!N:N,'Данные из терминала'!C:C,AI36,'Данные из терминала'!B:B,"buy")</f>
        <v>0</v>
      </c>
      <c r="AR36" s="401">
        <f>SUMIFS('Данные из терминала'!N:N,'Данные из терминала'!C:C,AI36)</f>
        <v>0</v>
      </c>
      <c r="AS36" s="399">
        <f>ROUND(IF(AJ36&gt;0,AVERAGEIFS('Данные из терминала'!N:N,'Данные из терминала'!C:C,AI36,'Данные из терминала'!B:B,"sell"),0),2)</f>
        <v>0</v>
      </c>
      <c r="AT36" s="400">
        <f>ROUND(IF(AK36&gt;0,AVERAGEIFS('Данные из терминала'!N:N,'Данные из терминала'!C:C,AI36,'Данные из терминала'!B:B,"buy"),0),2)</f>
        <v>0</v>
      </c>
      <c r="AU36" s="401">
        <f>ROUND(IF(AL36&gt;0,AVERAGEIFS('Данные из терминала'!N:N,'Данные из терминала'!C:C,AI36),0),2)</f>
        <v>0</v>
      </c>
      <c r="AV36" s="402">
        <f t="shared" si="20"/>
        <v>0</v>
      </c>
      <c r="AW36" s="403">
        <f t="shared" si="21"/>
        <v>0</v>
      </c>
      <c r="AX36" s="404">
        <f t="shared" si="22"/>
        <v>0</v>
      </c>
      <c r="AY36" s="399">
        <f>IF(AJ36&gt;0,VLOOKUP(AI36,Сводная!A:E,5,0),0)</f>
        <v>0</v>
      </c>
      <c r="AZ36" s="401">
        <f>IF(AK36&gt;0,VLOOKUP(AI36,Сводная!A:B,2,0),0)</f>
        <v>0</v>
      </c>
      <c r="BA36" s="399">
        <f>ROUND(IF(AJ36&gt;0,AVERAGEIFS('Данные из терминала'!L:L,'Данные из терминала'!C:C,AI36,'Данные из терминала'!B:B,"sell"),0),1)</f>
        <v>0</v>
      </c>
      <c r="BB36" s="400">
        <f>ROUND(IF(AK36&gt;0,AVERAGEIFS('Данные из терминала'!L:L,'Данные из терминала'!C:C,AI36,'Данные из терминала'!B:B,"buy"),0),1)</f>
        <v>0</v>
      </c>
      <c r="BC36" s="401">
        <f>ROUND(IF(AL36&gt;0,AVERAGEIFS('Данные из терминала'!L:L,'Данные из терминала'!C:C,AI36),0),1)</f>
        <v>0</v>
      </c>
      <c r="BD36" s="399">
        <f>IF(AJ36&gt;0,VLOOKUP(AI36,Сводная!A:F,6,0),0)</f>
        <v>0</v>
      </c>
      <c r="BE36" s="401">
        <f>IF(AK36&gt;0,VLOOKUP(AI36,Сводная!A:C,3,0),0)</f>
        <v>0</v>
      </c>
      <c r="BF36" s="399">
        <f>ROUND(IF(AJ36&gt;0,AVERAGEIFS('Данные из терминала'!M:M,'Данные из терминала'!C:C,AI36,'Данные из терминала'!B:B,"sell"),0),1)</f>
        <v>0</v>
      </c>
      <c r="BG36" s="400">
        <f>ROUND(IF(AK36&gt;0,AVERAGEIFS('Данные из терминала'!M:M,'Данные из терминала'!C:C,AI36,'Данные из терминала'!B:B,"buy"),0),1)</f>
        <v>0</v>
      </c>
      <c r="BH36" s="401">
        <f>ROUND(IF(AL36&gt;0,AVERAGEIFS('Данные из терминала'!M:M,'Данные из терминала'!C:C,AI36),0),1)</f>
        <v>0</v>
      </c>
      <c r="BI36" s="405">
        <f>IF(AJ36&gt;0,VLOOKUP(AI36,Сводная!A:G,7,0),0)</f>
        <v>0</v>
      </c>
      <c r="BJ36" s="406">
        <f>IF(AK36&gt;0,VLOOKUP(AI36,Сводная!A:D,4,0),0)</f>
        <v>0</v>
      </c>
      <c r="BK36" s="405">
        <f>IF(AJ36&gt;0,AVERAGEIFS('Данные из терминала'!O:O,'Данные из терминала'!C:C,AI36,'Данные из терминала'!B:B,"sell"),0)</f>
        <v>0</v>
      </c>
      <c r="BL36" s="407">
        <f>IF(AK36&gt;0,AVERAGEIFS('Данные из терминала'!O:O,'Данные из терминала'!C:C,AI36,'Данные из терминала'!B:B,"buy"),0)</f>
        <v>0</v>
      </c>
      <c r="BM36" s="406">
        <f>IF(AL36&gt;0,AVERAGEIFS('Данные из терминала'!O:O,'Данные из терминала'!C:C,AI36),0)</f>
        <v>0</v>
      </c>
    </row>
    <row r="37" spans="1:65" ht="15" x14ac:dyDescent="0.25">
      <c r="A37" s="165">
        <v>18</v>
      </c>
      <c r="B37" s="107">
        <f t="shared" si="12"/>
        <v>0</v>
      </c>
      <c r="C37" s="112">
        <f t="shared" si="13"/>
        <v>2</v>
      </c>
      <c r="D37" s="76"/>
      <c r="E37" s="107">
        <f t="shared" si="14"/>
        <v>0</v>
      </c>
      <c r="F37" s="105">
        <f t="shared" si="27"/>
        <v>20</v>
      </c>
      <c r="G37" s="100">
        <f t="shared" si="15"/>
        <v>340</v>
      </c>
      <c r="H37" s="11"/>
      <c r="I37" s="7">
        <f t="shared" si="16"/>
        <v>5</v>
      </c>
      <c r="J37" s="110">
        <f t="shared" si="0"/>
        <v>488281.25</v>
      </c>
      <c r="K37" s="8">
        <f t="shared" si="23"/>
        <v>610351.62</v>
      </c>
      <c r="L37" s="157"/>
      <c r="M37" s="162">
        <f t="shared" si="1"/>
        <v>8544922.6799999997</v>
      </c>
      <c r="N37" s="311">
        <f t="shared" si="2"/>
        <v>1424.1537799999999</v>
      </c>
      <c r="O37" s="159">
        <f t="shared" si="3"/>
        <v>6103516.2000000002</v>
      </c>
      <c r="P37" s="212">
        <f t="shared" si="17"/>
        <v>34179855.719999999</v>
      </c>
      <c r="Q37" s="225">
        <f t="shared" si="4"/>
        <v>5696.6426199999996</v>
      </c>
      <c r="R37" s="119">
        <f t="shared" si="24"/>
        <v>6</v>
      </c>
      <c r="S37" s="120">
        <f t="shared" si="25"/>
        <v>0.02</v>
      </c>
      <c r="T37" s="126">
        <f t="shared" si="18"/>
        <v>8</v>
      </c>
      <c r="U37" s="127">
        <f t="shared" si="26"/>
        <v>0.02</v>
      </c>
      <c r="V37" s="385"/>
      <c r="W37" s="350">
        <f t="shared" si="5"/>
        <v>140380872.59999999</v>
      </c>
      <c r="X37" s="351">
        <f t="shared" si="19"/>
        <v>174560728.31999999</v>
      </c>
      <c r="Y37" s="354"/>
      <c r="Z37" s="355">
        <f t="shared" si="6"/>
        <v>-174554728.31999999</v>
      </c>
      <c r="AA37" s="356">
        <f t="shared" si="7"/>
        <v>29093.45</v>
      </c>
      <c r="AB37" s="357">
        <f t="shared" si="8"/>
        <v>0</v>
      </c>
      <c r="AC37" s="358">
        <f t="shared" si="9"/>
        <v>0</v>
      </c>
      <c r="AD37" s="174">
        <v>18</v>
      </c>
      <c r="AE37" s="388"/>
      <c r="AF37" s="352">
        <f t="shared" si="10"/>
        <v>4.1100000000000003</v>
      </c>
      <c r="AG37" s="353">
        <f t="shared" si="11"/>
        <v>23396.81</v>
      </c>
      <c r="AH37" s="395"/>
      <c r="AI37" s="398">
        <v>18</v>
      </c>
      <c r="AJ37" s="399">
        <f>COUNTIFS('Данные из терминала'!C:C,AI37,'Данные из терминала'!B:B,"sell")</f>
        <v>0</v>
      </c>
      <c r="AK37" s="400">
        <f>COUNTIFS('Данные из терминала'!C:C,AI37,'Данные из терминала'!B:B,"buy")</f>
        <v>0</v>
      </c>
      <c r="AL37" s="401">
        <f>COUNTIFS('Данные из терминала'!C:C,AI37)</f>
        <v>0</v>
      </c>
      <c r="AM37" s="399">
        <f>SUMIFS('Данные из терминала'!E:E,'Данные из терминала'!C:C,AI37,'Данные из терминала'!B:B,"sell")</f>
        <v>0</v>
      </c>
      <c r="AN37" s="400">
        <f>SUMIFS('Данные из терминала'!E:E,'Данные из терминала'!C:C,AI37,'Данные из терминала'!B:B,"buy")</f>
        <v>0</v>
      </c>
      <c r="AO37" s="401">
        <f>SUMIFS('Данные из терминала'!E:E,'Данные из терминала'!C:C,AI37)</f>
        <v>0</v>
      </c>
      <c r="AP37" s="399">
        <f>SUMIFS('Данные из терминала'!N:N,'Данные из терминала'!C:C,AI37,'Данные из терминала'!B:B,"sell")</f>
        <v>0</v>
      </c>
      <c r="AQ37" s="400">
        <f>SUMIFS('Данные из терминала'!N:N,'Данные из терминала'!C:C,AI37,'Данные из терминала'!B:B,"buy")</f>
        <v>0</v>
      </c>
      <c r="AR37" s="401">
        <f>SUMIFS('Данные из терминала'!N:N,'Данные из терминала'!C:C,AI37)</f>
        <v>0</v>
      </c>
      <c r="AS37" s="399">
        <f>ROUND(IF(AJ37&gt;0,AVERAGEIFS('Данные из терминала'!N:N,'Данные из терминала'!C:C,AI37,'Данные из терминала'!B:B,"sell"),0),2)</f>
        <v>0</v>
      </c>
      <c r="AT37" s="400">
        <f>ROUND(IF(AK37&gt;0,AVERAGEIFS('Данные из терминала'!N:N,'Данные из терминала'!C:C,AI37,'Данные из терминала'!B:B,"buy"),0),2)</f>
        <v>0</v>
      </c>
      <c r="AU37" s="401">
        <f>ROUND(IF(AL37&gt;0,AVERAGEIFS('Данные из терминала'!N:N,'Данные из терминала'!C:C,AI37),0),2)</f>
        <v>0</v>
      </c>
      <c r="AV37" s="402">
        <f t="shared" si="20"/>
        <v>0</v>
      </c>
      <c r="AW37" s="403">
        <f t="shared" si="21"/>
        <v>0</v>
      </c>
      <c r="AX37" s="404">
        <f t="shared" si="22"/>
        <v>0</v>
      </c>
      <c r="AY37" s="399">
        <f>IF(AJ37&gt;0,VLOOKUP(AI37,Сводная!A:E,5,0),0)</f>
        <v>0</v>
      </c>
      <c r="AZ37" s="401">
        <f>IF(AK37&gt;0,VLOOKUP(AI37,Сводная!A:B,2,0),0)</f>
        <v>0</v>
      </c>
      <c r="BA37" s="399">
        <f>ROUND(IF(AJ37&gt;0,AVERAGEIFS('Данные из терминала'!L:L,'Данные из терминала'!C:C,AI37,'Данные из терминала'!B:B,"sell"),0),1)</f>
        <v>0</v>
      </c>
      <c r="BB37" s="400">
        <f>ROUND(IF(AK37&gt;0,AVERAGEIFS('Данные из терминала'!L:L,'Данные из терминала'!C:C,AI37,'Данные из терминала'!B:B,"buy"),0),1)</f>
        <v>0</v>
      </c>
      <c r="BC37" s="401">
        <f>ROUND(IF(AL37&gt;0,AVERAGEIFS('Данные из терминала'!L:L,'Данные из терминала'!C:C,AI37),0),1)</f>
        <v>0</v>
      </c>
      <c r="BD37" s="399">
        <f>IF(AJ37&gt;0,VLOOKUP(AI37,Сводная!A:F,6,0),0)</f>
        <v>0</v>
      </c>
      <c r="BE37" s="401">
        <f>IF(AK37&gt;0,VLOOKUP(AI37,Сводная!A:C,3,0),0)</f>
        <v>0</v>
      </c>
      <c r="BF37" s="399">
        <f>ROUND(IF(AJ37&gt;0,AVERAGEIFS('Данные из терминала'!M:M,'Данные из терминала'!C:C,AI37,'Данные из терминала'!B:B,"sell"),0),1)</f>
        <v>0</v>
      </c>
      <c r="BG37" s="400">
        <f>ROUND(IF(AK37&gt;0,AVERAGEIFS('Данные из терминала'!M:M,'Данные из терминала'!C:C,AI37,'Данные из терминала'!B:B,"buy"),0),1)</f>
        <v>0</v>
      </c>
      <c r="BH37" s="401">
        <f>ROUND(IF(AL37&gt;0,AVERAGEIFS('Данные из терминала'!M:M,'Данные из терминала'!C:C,AI37),0),1)</f>
        <v>0</v>
      </c>
      <c r="BI37" s="405">
        <f>IF(AJ37&gt;0,VLOOKUP(AI37,Сводная!A:G,7,0),0)</f>
        <v>0</v>
      </c>
      <c r="BJ37" s="406">
        <f>IF(AK37&gt;0,VLOOKUP(AI37,Сводная!A:D,4,0),0)</f>
        <v>0</v>
      </c>
      <c r="BK37" s="405">
        <f>IF(AJ37&gt;0,AVERAGEIFS('Данные из терминала'!O:O,'Данные из терминала'!C:C,AI37,'Данные из терминала'!B:B,"sell"),0)</f>
        <v>0</v>
      </c>
      <c r="BL37" s="407">
        <f>IF(AK37&gt;0,AVERAGEIFS('Данные из терминала'!O:O,'Данные из терминала'!C:C,AI37,'Данные из терминала'!B:B,"buy"),0)</f>
        <v>0</v>
      </c>
      <c r="BM37" s="406">
        <f>IF(AL37&gt;0,AVERAGEIFS('Данные из терминала'!O:O,'Данные из терминала'!C:C,AI37),0)</f>
        <v>0</v>
      </c>
    </row>
    <row r="38" spans="1:65" ht="15" x14ac:dyDescent="0.25">
      <c r="A38" s="165">
        <v>19</v>
      </c>
      <c r="B38" s="107">
        <f t="shared" si="12"/>
        <v>0</v>
      </c>
      <c r="C38" s="112">
        <f t="shared" si="13"/>
        <v>2</v>
      </c>
      <c r="D38" s="76"/>
      <c r="E38" s="107">
        <f t="shared" si="14"/>
        <v>0</v>
      </c>
      <c r="F38" s="105">
        <f t="shared" si="27"/>
        <v>20</v>
      </c>
      <c r="G38" s="100">
        <f t="shared" si="15"/>
        <v>360</v>
      </c>
      <c r="H38" s="11"/>
      <c r="I38" s="7">
        <f t="shared" si="16"/>
        <v>5</v>
      </c>
      <c r="J38" s="110">
        <f t="shared" si="0"/>
        <v>2441406.25</v>
      </c>
      <c r="K38" s="8">
        <f t="shared" si="23"/>
        <v>3051757.87</v>
      </c>
      <c r="L38" s="157"/>
      <c r="M38" s="162">
        <f t="shared" si="1"/>
        <v>42724610.18</v>
      </c>
      <c r="N38" s="311">
        <f t="shared" si="2"/>
        <v>7120.7683633333336</v>
      </c>
      <c r="O38" s="159">
        <f t="shared" si="3"/>
        <v>30517578.699999999</v>
      </c>
      <c r="P38" s="212">
        <f t="shared" si="17"/>
        <v>170898617.22</v>
      </c>
      <c r="Q38" s="225">
        <f t="shared" si="4"/>
        <v>28483.102869999999</v>
      </c>
      <c r="R38" s="119">
        <f t="shared" si="24"/>
        <v>6</v>
      </c>
      <c r="S38" s="120">
        <f t="shared" si="25"/>
        <v>0.02</v>
      </c>
      <c r="T38" s="126">
        <f t="shared" si="18"/>
        <v>8</v>
      </c>
      <c r="U38" s="127">
        <f t="shared" si="26"/>
        <v>0.02</v>
      </c>
      <c r="V38" s="385"/>
      <c r="W38" s="350">
        <f t="shared" si="5"/>
        <v>701904310.10000002</v>
      </c>
      <c r="X38" s="351">
        <f t="shared" si="19"/>
        <v>872802927.32000005</v>
      </c>
      <c r="Y38" s="354"/>
      <c r="Z38" s="355">
        <f t="shared" si="6"/>
        <v>-872796927.32000005</v>
      </c>
      <c r="AA38" s="356">
        <f t="shared" si="7"/>
        <v>145467.15</v>
      </c>
      <c r="AB38" s="357">
        <f t="shared" si="8"/>
        <v>0</v>
      </c>
      <c r="AC38" s="358">
        <f t="shared" si="9"/>
        <v>0</v>
      </c>
      <c r="AD38" s="174">
        <v>19</v>
      </c>
      <c r="AE38" s="388"/>
      <c r="AF38" s="352">
        <f t="shared" si="10"/>
        <v>4.1100000000000003</v>
      </c>
      <c r="AG38" s="353">
        <f t="shared" si="11"/>
        <v>116984.05</v>
      </c>
      <c r="AH38" s="395"/>
      <c r="AI38" s="398">
        <v>19</v>
      </c>
      <c r="AJ38" s="399">
        <f>COUNTIFS('Данные из терминала'!C:C,AI38,'Данные из терминала'!B:B,"sell")</f>
        <v>0</v>
      </c>
      <c r="AK38" s="400">
        <f>COUNTIFS('Данные из терминала'!C:C,AI38,'Данные из терминала'!B:B,"buy")</f>
        <v>0</v>
      </c>
      <c r="AL38" s="401">
        <f>COUNTIFS('Данные из терминала'!C:C,AI38)</f>
        <v>0</v>
      </c>
      <c r="AM38" s="399">
        <f>SUMIFS('Данные из терминала'!E:E,'Данные из терминала'!C:C,AI38,'Данные из терминала'!B:B,"sell")</f>
        <v>0</v>
      </c>
      <c r="AN38" s="400">
        <f>SUMIFS('Данные из терминала'!E:E,'Данные из терминала'!C:C,AI38,'Данные из терминала'!B:B,"buy")</f>
        <v>0</v>
      </c>
      <c r="AO38" s="401">
        <f>SUMIFS('Данные из терминала'!E:E,'Данные из терминала'!C:C,AI38)</f>
        <v>0</v>
      </c>
      <c r="AP38" s="399">
        <f>SUMIFS('Данные из терминала'!N:N,'Данные из терминала'!C:C,AI38,'Данные из терминала'!B:B,"sell")</f>
        <v>0</v>
      </c>
      <c r="AQ38" s="400">
        <f>SUMIFS('Данные из терминала'!N:N,'Данные из терминала'!C:C,AI38,'Данные из терминала'!B:B,"buy")</f>
        <v>0</v>
      </c>
      <c r="AR38" s="401">
        <f>SUMIFS('Данные из терминала'!N:N,'Данные из терминала'!C:C,AI38)</f>
        <v>0</v>
      </c>
      <c r="AS38" s="399">
        <f>ROUND(IF(AJ38&gt;0,AVERAGEIFS('Данные из терминала'!N:N,'Данные из терминала'!C:C,AI38,'Данные из терминала'!B:B,"sell"),0),2)</f>
        <v>0</v>
      </c>
      <c r="AT38" s="400">
        <f>ROUND(IF(AK38&gt;0,AVERAGEIFS('Данные из терминала'!N:N,'Данные из терминала'!C:C,AI38,'Данные из терминала'!B:B,"buy"),0),2)</f>
        <v>0</v>
      </c>
      <c r="AU38" s="401">
        <f>ROUND(IF(AL38&gt;0,AVERAGEIFS('Данные из терминала'!N:N,'Данные из терминала'!C:C,AI38),0),2)</f>
        <v>0</v>
      </c>
      <c r="AV38" s="402">
        <f t="shared" si="20"/>
        <v>0</v>
      </c>
      <c r="AW38" s="403">
        <f t="shared" si="21"/>
        <v>0</v>
      </c>
      <c r="AX38" s="404">
        <f t="shared" si="22"/>
        <v>0</v>
      </c>
      <c r="AY38" s="399">
        <f>IF(AJ38&gt;0,VLOOKUP(AI38,Сводная!A:E,5,0),0)</f>
        <v>0</v>
      </c>
      <c r="AZ38" s="401">
        <f>IF(AK38&gt;0,VLOOKUP(AI38,Сводная!A:B,2,0),0)</f>
        <v>0</v>
      </c>
      <c r="BA38" s="399">
        <f>ROUND(IF(AJ38&gt;0,AVERAGEIFS('Данные из терминала'!L:L,'Данные из терминала'!C:C,AI38,'Данные из терминала'!B:B,"sell"),0),1)</f>
        <v>0</v>
      </c>
      <c r="BB38" s="400">
        <f>ROUND(IF(AK38&gt;0,AVERAGEIFS('Данные из терминала'!L:L,'Данные из терминала'!C:C,AI38,'Данные из терминала'!B:B,"buy"),0),1)</f>
        <v>0</v>
      </c>
      <c r="BC38" s="401">
        <f>ROUND(IF(AL38&gt;0,AVERAGEIFS('Данные из терминала'!L:L,'Данные из терминала'!C:C,AI38),0),1)</f>
        <v>0</v>
      </c>
      <c r="BD38" s="399">
        <f>IF(AJ38&gt;0,VLOOKUP(AI38,Сводная!A:F,6,0),0)</f>
        <v>0</v>
      </c>
      <c r="BE38" s="401">
        <f>IF(AK38&gt;0,VLOOKUP(AI38,Сводная!A:C,3,0),0)</f>
        <v>0</v>
      </c>
      <c r="BF38" s="399">
        <f>ROUND(IF(AJ38&gt;0,AVERAGEIFS('Данные из терминала'!M:M,'Данные из терминала'!C:C,AI38,'Данные из терминала'!B:B,"sell"),0),1)</f>
        <v>0</v>
      </c>
      <c r="BG38" s="400">
        <f>ROUND(IF(AK38&gt;0,AVERAGEIFS('Данные из терминала'!M:M,'Данные из терминала'!C:C,AI38,'Данные из терминала'!B:B,"buy"),0),1)</f>
        <v>0</v>
      </c>
      <c r="BH38" s="401">
        <f>ROUND(IF(AL38&gt;0,AVERAGEIFS('Данные из терминала'!M:M,'Данные из терминала'!C:C,AI38),0),1)</f>
        <v>0</v>
      </c>
      <c r="BI38" s="405">
        <f>IF(AJ38&gt;0,VLOOKUP(AI38,Сводная!A:G,7,0),0)</f>
        <v>0</v>
      </c>
      <c r="BJ38" s="406">
        <f>IF(AK38&gt;0,VLOOKUP(AI38,Сводная!A:D,4,0),0)</f>
        <v>0</v>
      </c>
      <c r="BK38" s="405">
        <f>IF(AJ38&gt;0,AVERAGEIFS('Данные из терминала'!O:O,'Данные из терминала'!C:C,AI38,'Данные из терминала'!B:B,"sell"),0)</f>
        <v>0</v>
      </c>
      <c r="BL38" s="407">
        <f>IF(AK38&gt;0,AVERAGEIFS('Данные из терминала'!O:O,'Данные из терминала'!C:C,AI38,'Данные из терминала'!B:B,"buy"),0)</f>
        <v>0</v>
      </c>
      <c r="BM38" s="406">
        <f>IF(AL38&gt;0,AVERAGEIFS('Данные из терминала'!O:O,'Данные из терминала'!C:C,AI38),0)</f>
        <v>0</v>
      </c>
    </row>
    <row r="39" spans="1:65" ht="15.75" thickBot="1" x14ac:dyDescent="0.3">
      <c r="A39" s="166">
        <v>20</v>
      </c>
      <c r="B39" s="109">
        <f t="shared" si="12"/>
        <v>0</v>
      </c>
      <c r="C39" s="113">
        <f t="shared" si="13"/>
        <v>2</v>
      </c>
      <c r="D39" s="79"/>
      <c r="E39" s="109">
        <f t="shared" si="14"/>
        <v>0</v>
      </c>
      <c r="F39" s="106">
        <f t="shared" si="27"/>
        <v>20</v>
      </c>
      <c r="G39" s="103">
        <f t="shared" si="15"/>
        <v>380</v>
      </c>
      <c r="H39" s="21"/>
      <c r="I39" s="17">
        <f t="shared" si="16"/>
        <v>5</v>
      </c>
      <c r="J39" s="111">
        <f t="shared" si="0"/>
        <v>12207031.25</v>
      </c>
      <c r="K39" s="18">
        <f t="shared" si="23"/>
        <v>15258789.120000001</v>
      </c>
      <c r="L39" s="157"/>
      <c r="M39" s="164">
        <f t="shared" si="1"/>
        <v>213623047.68000001</v>
      </c>
      <c r="N39" s="313">
        <f t="shared" si="2"/>
        <v>35603.841280000001</v>
      </c>
      <c r="O39" s="161">
        <f t="shared" si="3"/>
        <v>152587891.19999999</v>
      </c>
      <c r="P39" s="211">
        <f t="shared" si="17"/>
        <v>854492378.72000003</v>
      </c>
      <c r="Q39" s="226">
        <f t="shared" si="4"/>
        <v>142415.39645333335</v>
      </c>
      <c r="R39" s="123">
        <f t="shared" si="24"/>
        <v>6</v>
      </c>
      <c r="S39" s="124">
        <f t="shared" si="25"/>
        <v>0.02</v>
      </c>
      <c r="T39" s="128">
        <f t="shared" si="18"/>
        <v>8</v>
      </c>
      <c r="U39" s="129">
        <f t="shared" si="26"/>
        <v>0.02</v>
      </c>
      <c r="V39" s="385"/>
      <c r="W39" s="367">
        <f t="shared" si="5"/>
        <v>3509521497.5999999</v>
      </c>
      <c r="X39" s="368">
        <f t="shared" si="19"/>
        <v>4364013876.3199997</v>
      </c>
      <c r="Y39" s="354"/>
      <c r="Z39" s="371">
        <f t="shared" si="6"/>
        <v>-4364007876.3199997</v>
      </c>
      <c r="AA39" s="372">
        <f t="shared" si="7"/>
        <v>727335.65</v>
      </c>
      <c r="AB39" s="373">
        <f t="shared" si="8"/>
        <v>0</v>
      </c>
      <c r="AC39" s="374">
        <f t="shared" si="9"/>
        <v>0</v>
      </c>
      <c r="AD39" s="175">
        <v>20</v>
      </c>
      <c r="AE39" s="388"/>
      <c r="AF39" s="369">
        <f t="shared" si="10"/>
        <v>4.1100000000000003</v>
      </c>
      <c r="AG39" s="370">
        <f t="shared" si="11"/>
        <v>584920.25</v>
      </c>
      <c r="AH39" s="395"/>
      <c r="AI39" s="415">
        <v>20</v>
      </c>
      <c r="AJ39" s="399">
        <f>COUNTIFS('Данные из терминала'!C:C,AI39,'Данные из терминала'!B:B,"sell")</f>
        <v>0</v>
      </c>
      <c r="AK39" s="400">
        <f>COUNTIFS('Данные из терминала'!C:C,AI39,'Данные из терминала'!B:B,"buy")</f>
        <v>0</v>
      </c>
      <c r="AL39" s="401">
        <f>COUNTIFS('Данные из терминала'!C:C,AI39)</f>
        <v>0</v>
      </c>
      <c r="AM39" s="399">
        <f>SUMIFS('Данные из терминала'!E:E,'Данные из терминала'!C:C,AI39,'Данные из терминала'!B:B,"sell")</f>
        <v>0</v>
      </c>
      <c r="AN39" s="400">
        <f>SUMIFS('Данные из терминала'!E:E,'Данные из терминала'!C:C,AI39,'Данные из терминала'!B:B,"buy")</f>
        <v>0</v>
      </c>
      <c r="AO39" s="401">
        <f>SUMIFS('Данные из терминала'!E:E,'Данные из терминала'!C:C,AI39)</f>
        <v>0</v>
      </c>
      <c r="AP39" s="399">
        <f>SUMIFS('Данные из терминала'!N:N,'Данные из терминала'!C:C,AI39,'Данные из терминала'!B:B,"sell")</f>
        <v>0</v>
      </c>
      <c r="AQ39" s="400">
        <f>SUMIFS('Данные из терминала'!N:N,'Данные из терминала'!C:C,AI39,'Данные из терминала'!B:B,"buy")</f>
        <v>0</v>
      </c>
      <c r="AR39" s="401">
        <f>SUMIFS('Данные из терминала'!N:N,'Данные из терминала'!C:C,AI39)</f>
        <v>0</v>
      </c>
      <c r="AS39" s="399">
        <f>ROUND(IF(AJ39&gt;0,AVERAGEIFS('Данные из терминала'!N:N,'Данные из терминала'!C:C,AI39,'Данные из терминала'!B:B,"sell"),0),2)</f>
        <v>0</v>
      </c>
      <c r="AT39" s="400">
        <f>ROUND(IF(AK39&gt;0,AVERAGEIFS('Данные из терминала'!N:N,'Данные из терминала'!C:C,AI39,'Данные из терминала'!B:B,"buy"),0),2)</f>
        <v>0</v>
      </c>
      <c r="AU39" s="401">
        <f>ROUND(IF(AL39&gt;0,AVERAGEIFS('Данные из терминала'!N:N,'Данные из терминала'!C:C,AI39),0),2)</f>
        <v>0</v>
      </c>
      <c r="AV39" s="402">
        <f t="shared" si="20"/>
        <v>0</v>
      </c>
      <c r="AW39" s="403">
        <f t="shared" si="21"/>
        <v>0</v>
      </c>
      <c r="AX39" s="404">
        <f t="shared" si="22"/>
        <v>0</v>
      </c>
      <c r="AY39" s="399">
        <f>IF(AJ39&gt;0,VLOOKUP(AI39,Сводная!A:E,5,0),0)</f>
        <v>0</v>
      </c>
      <c r="AZ39" s="401">
        <f>IF(AK39&gt;0,VLOOKUP(AI39,Сводная!A:B,2,0),0)</f>
        <v>0</v>
      </c>
      <c r="BA39" s="399">
        <f>ROUND(IF(AJ39&gt;0,AVERAGEIFS('Данные из терминала'!L:L,'Данные из терминала'!C:C,AI39,'Данные из терминала'!B:B,"sell"),0),1)</f>
        <v>0</v>
      </c>
      <c r="BB39" s="400">
        <f>ROUND(IF(AK39&gt;0,AVERAGEIFS('Данные из терминала'!L:L,'Данные из терминала'!C:C,AI39,'Данные из терминала'!B:B,"buy"),0),1)</f>
        <v>0</v>
      </c>
      <c r="BC39" s="400">
        <f>ROUND(IF(AL39&gt;0,AVERAGEIFS('Данные из терминала'!L:L,'Данные из терминала'!C:C,AI39),0),1)</f>
        <v>0</v>
      </c>
      <c r="BD39" s="399">
        <f>IF(AJ39&gt;0,VLOOKUP(AI39,Сводная!A:F,6,0),0)</f>
        <v>0</v>
      </c>
      <c r="BE39" s="401">
        <f>IF(AK39&gt;0,VLOOKUP(AI39,Сводная!A:C,3,0),0)</f>
        <v>0</v>
      </c>
      <c r="BF39" s="399">
        <f>ROUND(IF(AJ39&gt;0,AVERAGEIFS('Данные из терминала'!M:M,'Данные из терминала'!C:C,AI39,'Данные из терминала'!B:B,"sell"),0),1)</f>
        <v>0</v>
      </c>
      <c r="BG39" s="400">
        <f>ROUND(IF(AK39&gt;0,AVERAGEIFS('Данные из терминала'!M:M,'Данные из терминала'!C:C,AI39,'Данные из терминала'!B:B,"buy"),0),1)</f>
        <v>0</v>
      </c>
      <c r="BH39" s="401">
        <f>ROUND(IF(AL39&gt;0,AVERAGEIFS('Данные из терминала'!M:M,'Данные из терминала'!C:C,AI39),0),1)</f>
        <v>0</v>
      </c>
      <c r="BI39" s="405">
        <f>IF(AJ39&gt;0,VLOOKUP(AI39,Сводная!A:G,7,0),0)</f>
        <v>0</v>
      </c>
      <c r="BJ39" s="406">
        <f>IF(AK39&gt;0,VLOOKUP(AI39,Сводная!A:D,4,0),0)</f>
        <v>0</v>
      </c>
      <c r="BK39" s="405">
        <f>IF(AJ39&gt;0,AVERAGEIFS('Данные из терминала'!O:O,'Данные из терминала'!C:C,AI39,'Данные из терминала'!B:B,"sell"),0)</f>
        <v>0</v>
      </c>
      <c r="BL39" s="407">
        <f>IF(AK39&gt;0,AVERAGEIFS('Данные из терминала'!O:O,'Данные из терминала'!C:C,AI39,'Данные из терминала'!B:B,"buy"),0)</f>
        <v>0</v>
      </c>
      <c r="BM39" s="406">
        <f>IF(AL39&gt;0,AVERAGEIFS('Данные из терминала'!O:O,'Данные из терминала'!C:C,AI39),0)</f>
        <v>0</v>
      </c>
    </row>
    <row r="40" spans="1:65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5"/>
      <c r="W40" s="385"/>
      <c r="X40" s="385"/>
      <c r="Y40" s="115"/>
      <c r="Z40" s="115"/>
      <c r="AA40" s="115"/>
      <c r="AB40" s="115"/>
      <c r="AC40" s="115"/>
      <c r="AD40" s="115"/>
      <c r="AE40" s="385"/>
      <c r="AF40" s="385"/>
      <c r="AG40" s="385"/>
      <c r="AH40" s="395"/>
      <c r="AI40" s="395"/>
      <c r="AJ40" s="395"/>
      <c r="AK40" s="395"/>
      <c r="AL40" s="395"/>
      <c r="AM40" s="395"/>
      <c r="AN40" s="395"/>
      <c r="AO40" s="395"/>
      <c r="AP40" s="395"/>
      <c r="AQ40" s="395"/>
      <c r="AR40" s="395"/>
      <c r="AS40" s="395"/>
      <c r="AT40" s="395"/>
      <c r="AU40" s="395"/>
      <c r="AV40" s="395"/>
      <c r="AW40" s="395"/>
      <c r="AX40" s="395"/>
      <c r="AY40" s="395"/>
      <c r="AZ40" s="395"/>
      <c r="BA40" s="395"/>
      <c r="BB40" s="395"/>
      <c r="BC40" s="395"/>
      <c r="BD40" s="395"/>
      <c r="BE40" s="395"/>
      <c r="BF40" s="395"/>
      <c r="BG40" s="395"/>
      <c r="BH40" s="395"/>
      <c r="BI40" s="395"/>
      <c r="BJ40" s="395"/>
      <c r="BK40" s="395"/>
      <c r="BL40" s="395"/>
      <c r="BM40" s="395"/>
    </row>
    <row r="41" spans="1:65" ht="13.5" thickBot="1" x14ac:dyDescent="0.25">
      <c r="D41" s="82"/>
      <c r="H41" s="82"/>
      <c r="L41" s="216"/>
    </row>
    <row r="42" spans="1:65" ht="13.5" thickBot="1" x14ac:dyDescent="0.25">
      <c r="D42" s="82"/>
      <c r="H42" s="82"/>
      <c r="L42" s="216"/>
      <c r="AI42" s="417" t="s">
        <v>111</v>
      </c>
      <c r="AJ42" s="418">
        <f t="shared" ref="AJ42:AR42" si="28">SUM(AJ20:AJ39)</f>
        <v>0</v>
      </c>
      <c r="AK42" s="419">
        <f t="shared" si="28"/>
        <v>0</v>
      </c>
      <c r="AL42" s="420">
        <f t="shared" si="28"/>
        <v>0</v>
      </c>
      <c r="AM42" s="421">
        <f t="shared" si="28"/>
        <v>0</v>
      </c>
      <c r="AN42" s="422">
        <f t="shared" si="28"/>
        <v>0</v>
      </c>
      <c r="AO42" s="423">
        <f t="shared" si="28"/>
        <v>0</v>
      </c>
      <c r="AP42" s="424">
        <f t="shared" si="28"/>
        <v>0</v>
      </c>
      <c r="AQ42" s="425">
        <f t="shared" si="28"/>
        <v>0</v>
      </c>
      <c r="AR42" s="426">
        <f t="shared" si="28"/>
        <v>0</v>
      </c>
    </row>
    <row r="43" spans="1:65" ht="26.25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92">
        <v>4</v>
      </c>
      <c r="N43" s="492"/>
      <c r="O43" s="492"/>
      <c r="P43" s="492"/>
      <c r="Q43" s="493"/>
      <c r="R43" s="492"/>
      <c r="S43" s="492"/>
      <c r="T43" s="492"/>
      <c r="U43" s="492"/>
      <c r="V43" s="228"/>
      <c r="W43" s="492">
        <v>5</v>
      </c>
      <c r="X43" s="493"/>
      <c r="Y43" s="228"/>
      <c r="Z43" s="228"/>
      <c r="AA43" s="492">
        <v>6</v>
      </c>
      <c r="AB43" s="492"/>
      <c r="AF43" s="492">
        <v>7</v>
      </c>
      <c r="AG43" s="492"/>
      <c r="AH43" s="390"/>
      <c r="AW43" s="509">
        <v>8</v>
      </c>
      <c r="AX43" s="509"/>
    </row>
    <row r="44" spans="1:65" x14ac:dyDescent="0.2">
      <c r="D44" s="82"/>
      <c r="E44" s="416"/>
      <c r="F44" s="416"/>
      <c r="G44" s="416"/>
      <c r="H44" s="82"/>
      <c r="I44" s="416"/>
      <c r="J44" s="416"/>
      <c r="K44" s="416"/>
      <c r="L44" s="216"/>
    </row>
    <row r="45" spans="1:65" ht="16.5" x14ac:dyDescent="0.3">
      <c r="A45" s="428" t="s">
        <v>112</v>
      </c>
      <c r="C45" s="431">
        <f>VLOOKUP(A45,SET_import!$A:$B,2,0)</f>
        <v>0</v>
      </c>
      <c r="D45" s="83"/>
      <c r="H45" s="84"/>
      <c r="L45" s="157"/>
    </row>
    <row r="46" spans="1:65" x14ac:dyDescent="0.2">
      <c r="D46" s="83"/>
      <c r="H46" s="84"/>
      <c r="I46" s="277" t="s">
        <v>155</v>
      </c>
      <c r="K46" s="278">
        <f>VLOOKUP(I46,SET_import!$A:$B,2,0)</f>
        <v>0</v>
      </c>
      <c r="L46" s="157"/>
    </row>
    <row r="47" spans="1:65" ht="15" x14ac:dyDescent="0.25">
      <c r="A47" s="96" t="s">
        <v>170</v>
      </c>
      <c r="B47" s="246"/>
      <c r="C47" s="144">
        <f>VLOOKUP(A47,SET_import!$A:$B,2,0)</f>
        <v>2</v>
      </c>
      <c r="D47" s="83"/>
      <c r="E47" s="96" t="s">
        <v>146</v>
      </c>
      <c r="F47" s="246"/>
      <c r="G47" s="144">
        <f>VLOOKUP(E47,SET_import!$A:$B,2,0)</f>
        <v>20</v>
      </c>
      <c r="H47" s="84"/>
      <c r="I47" s="96" t="s">
        <v>157</v>
      </c>
      <c r="J47" s="247"/>
      <c r="K47" s="149">
        <f>VLOOKUP(I47,SET_import!$A:$B,2,0)</f>
        <v>0.01</v>
      </c>
      <c r="L47" s="157"/>
    </row>
    <row r="48" spans="1:65" ht="15" x14ac:dyDescent="0.25">
      <c r="A48" s="96"/>
      <c r="B48" s="246"/>
      <c r="C48" s="326"/>
      <c r="D48" s="30"/>
      <c r="E48" s="430"/>
      <c r="F48" s="246"/>
      <c r="G48" s="325"/>
      <c r="H48" s="31"/>
      <c r="I48" s="96" t="s">
        <v>158</v>
      </c>
      <c r="J48" s="247"/>
      <c r="K48" s="148">
        <f>VLOOKUP(I48,SET_import!$A:$B,2,0)</f>
        <v>5</v>
      </c>
      <c r="L48" s="157"/>
    </row>
    <row r="49" spans="1:12" ht="15" x14ac:dyDescent="0.25">
      <c r="A49" s="96"/>
      <c r="B49" s="246"/>
      <c r="C49" s="326"/>
      <c r="D49" s="30"/>
      <c r="E49" s="430"/>
      <c r="F49" s="246"/>
      <c r="G49" s="326"/>
      <c r="H49" s="31"/>
      <c r="I49" s="96" t="s">
        <v>159</v>
      </c>
      <c r="J49" s="247"/>
      <c r="K49" s="144">
        <f>VLOOKUP(I49,SET_import!$A:$B,2,0)</f>
        <v>8</v>
      </c>
      <c r="L49" s="157"/>
    </row>
    <row r="50" spans="1:12" ht="15" x14ac:dyDescent="0.25">
      <c r="A50" s="97"/>
      <c r="B50" s="246"/>
      <c r="C50" s="375"/>
      <c r="D50" s="36"/>
      <c r="E50" s="430"/>
      <c r="F50" s="246"/>
      <c r="G50" s="327"/>
      <c r="H50" s="37"/>
      <c r="I50" s="97"/>
      <c r="J50" s="247"/>
      <c r="K50" s="3"/>
      <c r="L50" s="157"/>
    </row>
    <row r="51" spans="1:12" ht="15" x14ac:dyDescent="0.25">
      <c r="A51" s="254" t="s">
        <v>171</v>
      </c>
      <c r="B51" s="246"/>
      <c r="C51" s="146">
        <f>VLOOKUP(A51,SET_import!$A:$B,2,0)</f>
        <v>5</v>
      </c>
      <c r="D51" s="40"/>
      <c r="E51" s="254" t="s">
        <v>147</v>
      </c>
      <c r="F51" s="246"/>
      <c r="G51" s="146">
        <f>VLOOKUP(E51,SET_import!$A:$B,2,0)</f>
        <v>0</v>
      </c>
      <c r="H51" s="41"/>
      <c r="I51" s="254" t="s">
        <v>160</v>
      </c>
      <c r="J51" s="247"/>
      <c r="K51" s="147">
        <f>VLOOKUP(I51,SET_import!$A:$B,2,0)</f>
        <v>0</v>
      </c>
      <c r="L51" s="157"/>
    </row>
    <row r="52" spans="1:12" ht="15" x14ac:dyDescent="0.25">
      <c r="A52" s="254" t="s">
        <v>172</v>
      </c>
      <c r="B52" s="246"/>
      <c r="C52" s="145">
        <f>VLOOKUP(A52,SET_import!$A:$B,2,0)</f>
        <v>0</v>
      </c>
      <c r="D52" s="93"/>
      <c r="E52" s="254" t="s">
        <v>148</v>
      </c>
      <c r="F52" s="314"/>
      <c r="G52" s="145">
        <f>VLOOKUP(E52,SET_import!$A:$B,2,0)</f>
        <v>0</v>
      </c>
      <c r="H52" s="94"/>
      <c r="I52" s="254" t="s">
        <v>161</v>
      </c>
      <c r="J52" s="247"/>
      <c r="K52" s="143">
        <f>VLOOKUP(I52,SET_import!$A:$B,2,0)</f>
        <v>0</v>
      </c>
      <c r="L52" s="157"/>
    </row>
    <row r="53" spans="1:12" ht="15" x14ac:dyDescent="0.25">
      <c r="A53" s="254"/>
      <c r="B53" s="245"/>
      <c r="C53" s="376"/>
      <c r="D53" s="40"/>
      <c r="E53" s="430"/>
      <c r="F53" s="245"/>
      <c r="G53" s="377"/>
      <c r="H53" s="41"/>
      <c r="I53" s="254"/>
      <c r="J53" s="250"/>
      <c r="K53" s="377"/>
      <c r="L53" s="157"/>
    </row>
    <row r="54" spans="1:12" ht="15" x14ac:dyDescent="0.25">
      <c r="A54" s="286" t="s">
        <v>173</v>
      </c>
      <c r="B54" s="246"/>
      <c r="C54" s="287">
        <f>VLOOKUP(A54,SET_import!$A:$B,2,0)</f>
        <v>0</v>
      </c>
      <c r="D54" s="289"/>
      <c r="E54" s="286" t="s">
        <v>149</v>
      </c>
      <c r="F54" s="314"/>
      <c r="G54" s="287">
        <f>VLOOKUP(E54,SET_import!$A:$B,2,0)</f>
        <v>0</v>
      </c>
      <c r="H54" s="291"/>
      <c r="I54" s="286" t="s">
        <v>162</v>
      </c>
      <c r="J54" s="247"/>
      <c r="K54" s="292">
        <f>VLOOKUP(I54,SET_import!$A:$B,2,0)</f>
        <v>0</v>
      </c>
      <c r="L54" s="157"/>
    </row>
    <row r="55" spans="1:12" ht="15" x14ac:dyDescent="0.25">
      <c r="A55" s="286" t="s">
        <v>174</v>
      </c>
      <c r="B55" s="246"/>
      <c r="C55" s="288">
        <f>VLOOKUP(A55,SET_import!$A:$B,2,0)</f>
        <v>0</v>
      </c>
      <c r="D55" s="295"/>
      <c r="E55" s="286" t="s">
        <v>150</v>
      </c>
      <c r="F55" s="314"/>
      <c r="G55" s="288">
        <f>VLOOKUP(E55,SET_import!$A:$B,2,0)</f>
        <v>0</v>
      </c>
      <c r="H55" s="296"/>
      <c r="I55" s="286" t="s">
        <v>163</v>
      </c>
      <c r="J55" s="247"/>
      <c r="K55" s="297">
        <f>VLOOKUP(I55,SET_import!$A:$B,2,0)</f>
        <v>0</v>
      </c>
      <c r="L55" s="157"/>
    </row>
    <row r="56" spans="1:12" ht="15" x14ac:dyDescent="0.25">
      <c r="A56" s="286"/>
      <c r="B56" s="246"/>
      <c r="C56" s="378"/>
      <c r="D56" s="295"/>
      <c r="E56" s="286"/>
      <c r="F56" s="314"/>
      <c r="G56" s="378"/>
      <c r="H56" s="296"/>
      <c r="I56" s="286"/>
      <c r="J56" s="247"/>
      <c r="K56" s="379"/>
      <c r="L56" s="157"/>
    </row>
    <row r="57" spans="1:12" ht="15" x14ac:dyDescent="0.25">
      <c r="A57" s="279" t="s">
        <v>175</v>
      </c>
      <c r="B57" s="246"/>
      <c r="C57" s="280">
        <f>VLOOKUP(A57,SET_import!$A:$B,2,0)</f>
        <v>0</v>
      </c>
      <c r="D57" s="295"/>
      <c r="E57" s="279" t="s">
        <v>151</v>
      </c>
      <c r="F57" s="247"/>
      <c r="G57" s="315">
        <f>VLOOKUP(E57,SET_import!$A:$B,2,0)</f>
        <v>0</v>
      </c>
      <c r="H57" s="243"/>
      <c r="I57" s="279" t="s">
        <v>164</v>
      </c>
      <c r="J57" s="247"/>
      <c r="K57" s="318">
        <f>VLOOKUP(I57,SET_import!$A:$B,2,0)</f>
        <v>0</v>
      </c>
      <c r="L57" s="157"/>
    </row>
    <row r="58" spans="1:12" ht="15" x14ac:dyDescent="0.25">
      <c r="A58" s="279" t="s">
        <v>176</v>
      </c>
      <c r="B58" s="246"/>
      <c r="C58" s="240">
        <f>VLOOKUP(A58,SET_import!$A:$B,2,0)</f>
        <v>0</v>
      </c>
      <c r="D58" s="295"/>
      <c r="E58" s="279" t="s">
        <v>152</v>
      </c>
      <c r="F58" s="247"/>
      <c r="G58" s="240">
        <f>VLOOKUP(E58,SET_import!$A:$B,2,0)</f>
        <v>0</v>
      </c>
      <c r="H58" s="243"/>
      <c r="I58" s="279" t="s">
        <v>165</v>
      </c>
      <c r="J58" s="247"/>
      <c r="K58" s="316">
        <f>VLOOKUP(I58,SET_import!$A:$B,2,0)</f>
        <v>0</v>
      </c>
      <c r="L58" s="157"/>
    </row>
    <row r="59" spans="1:12" ht="15" x14ac:dyDescent="0.25">
      <c r="A59" s="139"/>
      <c r="B59" s="246"/>
      <c r="C59" s="381"/>
      <c r="D59" s="141"/>
      <c r="E59" s="139"/>
      <c r="F59" s="246"/>
      <c r="G59" s="381"/>
      <c r="H59" s="142"/>
      <c r="I59" s="139"/>
      <c r="J59" s="247"/>
      <c r="K59" s="382"/>
      <c r="L59" s="157"/>
    </row>
    <row r="60" spans="1:12" ht="15" x14ac:dyDescent="0.25">
      <c r="D60" s="241"/>
      <c r="E60" s="96" t="s">
        <v>153</v>
      </c>
      <c r="F60" s="246"/>
      <c r="G60" s="240">
        <f>VLOOKUP(E60,SET_import!$A:$B,2,0)</f>
        <v>0</v>
      </c>
      <c r="H60" s="243"/>
      <c r="I60" s="96" t="s">
        <v>166</v>
      </c>
      <c r="J60" s="247"/>
      <c r="K60" s="261">
        <f>VLOOKUP(I60,SET_import!$A:$B,2,0)</f>
        <v>0</v>
      </c>
      <c r="L60" s="157"/>
    </row>
    <row r="61" spans="1:12" ht="15" x14ac:dyDescent="0.25">
      <c r="A61" s="429" t="s">
        <v>113</v>
      </c>
      <c r="C61" s="431">
        <f>VLOOKUP(A61,SET_import!$A:$B,2,0)</f>
        <v>15</v>
      </c>
      <c r="D61" s="241"/>
      <c r="E61" s="96"/>
      <c r="F61" s="242"/>
      <c r="G61" s="383"/>
      <c r="H61" s="243"/>
      <c r="I61" s="98" t="s">
        <v>167</v>
      </c>
      <c r="J61" s="247"/>
      <c r="K61" s="260">
        <f>VLOOKUP(I61,SET_import!$A:$B,2,0)</f>
        <v>0</v>
      </c>
      <c r="L61" s="157"/>
    </row>
    <row r="62" spans="1:12" x14ac:dyDescent="0.2">
      <c r="L62" s="157"/>
    </row>
    <row r="63" spans="1:12" ht="16.5" x14ac:dyDescent="0.3">
      <c r="A63" s="432" t="s">
        <v>125</v>
      </c>
      <c r="B63" s="433"/>
      <c r="C63" s="431">
        <f>VLOOKUP(A63,SET_import!$A:$B,2,0)</f>
        <v>1</v>
      </c>
      <c r="D63" s="433"/>
      <c r="E63" s="433"/>
      <c r="F63" s="433"/>
      <c r="G63" s="434"/>
      <c r="H63" s="433"/>
      <c r="I63" s="433"/>
      <c r="J63" s="433"/>
      <c r="K63" s="434"/>
      <c r="L63" s="157"/>
    </row>
    <row r="64" spans="1:12" ht="16.5" x14ac:dyDescent="0.3">
      <c r="A64" s="435"/>
      <c r="B64" s="438"/>
      <c r="C64" s="438"/>
      <c r="D64" s="438"/>
      <c r="E64" s="438"/>
      <c r="F64" s="438"/>
      <c r="G64" s="439"/>
      <c r="H64" s="438"/>
      <c r="I64" s="438"/>
      <c r="J64" s="438"/>
      <c r="K64" s="440"/>
      <c r="L64" s="157"/>
    </row>
    <row r="65" spans="1:12" x14ac:dyDescent="0.2">
      <c r="C65" s="114"/>
      <c r="G65" s="114"/>
      <c r="I65" s="277" t="s">
        <v>187</v>
      </c>
      <c r="K65" s="278">
        <f>VLOOKUP(I65,SET_import!$A:$B,2,0)</f>
        <v>0</v>
      </c>
      <c r="L65" s="157"/>
    </row>
    <row r="66" spans="1:12" ht="15" x14ac:dyDescent="0.25">
      <c r="A66" s="96" t="s">
        <v>202</v>
      </c>
      <c r="B66" s="246"/>
      <c r="C66" s="144">
        <f>VLOOKUP(A66,SET_import!$A:$B,2,0)</f>
        <v>4</v>
      </c>
      <c r="D66" s="83"/>
      <c r="E66" s="96" t="s">
        <v>178</v>
      </c>
      <c r="F66" s="246"/>
      <c r="G66" s="144">
        <f>VLOOKUP(E66,SET_import!$A:$B,2,0)</f>
        <v>8</v>
      </c>
      <c r="H66" s="84"/>
      <c r="I66" s="96" t="s">
        <v>189</v>
      </c>
      <c r="J66" s="247"/>
      <c r="K66" s="149">
        <f>VLOOKUP(I66,SET_import!$A:$B,2,0)</f>
        <v>0.01</v>
      </c>
      <c r="L66" s="157"/>
    </row>
    <row r="67" spans="1:12" ht="15" x14ac:dyDescent="0.25">
      <c r="A67" s="96"/>
      <c r="B67" s="246"/>
      <c r="C67" s="326"/>
      <c r="D67" s="30"/>
      <c r="E67" s="430"/>
      <c r="F67" s="246"/>
      <c r="G67" s="325"/>
      <c r="H67" s="31"/>
      <c r="I67" s="96" t="s">
        <v>190</v>
      </c>
      <c r="J67" s="247"/>
      <c r="K67" s="148">
        <f>VLOOKUP(I67,SET_import!$A:$B,2,0)</f>
        <v>1.5</v>
      </c>
      <c r="L67" s="157"/>
    </row>
    <row r="68" spans="1:12" ht="15" x14ac:dyDescent="0.25">
      <c r="A68" s="96"/>
      <c r="B68" s="246"/>
      <c r="C68" s="326"/>
      <c r="D68" s="30"/>
      <c r="E68" s="430"/>
      <c r="F68" s="246"/>
      <c r="G68" s="326"/>
      <c r="H68" s="31"/>
      <c r="I68" s="96" t="s">
        <v>191</v>
      </c>
      <c r="J68" s="247"/>
      <c r="K68" s="144">
        <f>VLOOKUP(I68,SET_import!$A:$B,2,0)</f>
        <v>3</v>
      </c>
      <c r="L68" s="157"/>
    </row>
    <row r="69" spans="1:12" ht="15" x14ac:dyDescent="0.25">
      <c r="A69" s="97"/>
      <c r="B69" s="246"/>
      <c r="C69" s="375"/>
      <c r="D69" s="36"/>
      <c r="E69" s="430"/>
      <c r="F69" s="246"/>
      <c r="G69" s="327"/>
      <c r="H69" s="37"/>
      <c r="I69" s="97"/>
      <c r="J69" s="247"/>
      <c r="K69" s="3"/>
      <c r="L69" s="157"/>
    </row>
    <row r="70" spans="1:12" ht="15" x14ac:dyDescent="0.25">
      <c r="A70" s="254" t="s">
        <v>203</v>
      </c>
      <c r="B70" s="246"/>
      <c r="C70" s="146">
        <f>VLOOKUP(A70,SET_import!$A:$B,2,0)</f>
        <v>4</v>
      </c>
      <c r="D70" s="40"/>
      <c r="E70" s="254" t="s">
        <v>179</v>
      </c>
      <c r="F70" s="246"/>
      <c r="G70" s="146">
        <f>VLOOKUP(E70,SET_import!$A:$B,2,0)</f>
        <v>3</v>
      </c>
      <c r="H70" s="41"/>
      <c r="I70" s="254" t="s">
        <v>192</v>
      </c>
      <c r="J70" s="247"/>
      <c r="K70" s="147">
        <f>VLOOKUP(I70,SET_import!$A:$B,2,0)</f>
        <v>5</v>
      </c>
      <c r="L70" s="157"/>
    </row>
    <row r="71" spans="1:12" ht="15" x14ac:dyDescent="0.25">
      <c r="A71" s="254" t="s">
        <v>204</v>
      </c>
      <c r="B71" s="246"/>
      <c r="C71" s="145">
        <f>VLOOKUP(A71,SET_import!$A:$B,2,0)</f>
        <v>1</v>
      </c>
      <c r="D71" s="93"/>
      <c r="E71" s="254" t="s">
        <v>180</v>
      </c>
      <c r="F71" s="314"/>
      <c r="G71" s="145">
        <f>VLOOKUP(E71,SET_import!$A:$B,2,0)</f>
        <v>1</v>
      </c>
      <c r="H71" s="94"/>
      <c r="I71" s="254" t="s">
        <v>193</v>
      </c>
      <c r="J71" s="247"/>
      <c r="K71" s="143">
        <f>VLOOKUP(I71,SET_import!$A:$B,2,0)</f>
        <v>0.01</v>
      </c>
      <c r="L71" s="157"/>
    </row>
    <row r="72" spans="1:12" ht="15" x14ac:dyDescent="0.25">
      <c r="A72" s="254"/>
      <c r="B72" s="245"/>
      <c r="C72" s="376"/>
      <c r="D72" s="40"/>
      <c r="E72" s="430"/>
      <c r="F72" s="245"/>
      <c r="G72" s="377"/>
      <c r="H72" s="41"/>
      <c r="I72" s="254"/>
      <c r="J72" s="250"/>
      <c r="K72" s="377"/>
      <c r="L72" s="157"/>
    </row>
    <row r="73" spans="1:12" ht="15" x14ac:dyDescent="0.25">
      <c r="A73" s="286" t="s">
        <v>205</v>
      </c>
      <c r="B73" s="246"/>
      <c r="C73" s="287">
        <f>VLOOKUP(A73,SET_import!$A:$B,2,0)</f>
        <v>12</v>
      </c>
      <c r="D73" s="289"/>
      <c r="E73" s="286" t="s">
        <v>181</v>
      </c>
      <c r="F73" s="314"/>
      <c r="G73" s="287">
        <f>VLOOKUP(E73,SET_import!$A:$B,2,0)</f>
        <v>10</v>
      </c>
      <c r="H73" s="291"/>
      <c r="I73" s="286" t="s">
        <v>194</v>
      </c>
      <c r="J73" s="247"/>
      <c r="K73" s="292">
        <f>VLOOKUP(I73,SET_import!$A:$B,2,0)</f>
        <v>8</v>
      </c>
      <c r="L73" s="157"/>
    </row>
    <row r="74" spans="1:12" ht="15" x14ac:dyDescent="0.25">
      <c r="A74" s="286" t="s">
        <v>206</v>
      </c>
      <c r="B74" s="246"/>
      <c r="C74" s="288">
        <f>VLOOKUP(A74,SET_import!$A:$B,2,0)</f>
        <v>-1</v>
      </c>
      <c r="D74" s="295"/>
      <c r="E74" s="286" t="s">
        <v>182</v>
      </c>
      <c r="F74" s="314"/>
      <c r="G74" s="288">
        <f>VLOOKUP(E74,SET_import!$A:$B,2,0)</f>
        <v>7</v>
      </c>
      <c r="H74" s="296"/>
      <c r="I74" s="286" t="s">
        <v>195</v>
      </c>
      <c r="J74" s="247"/>
      <c r="K74" s="297">
        <f>VLOOKUP(I74,SET_import!$A:$B,2,0)</f>
        <v>0.02</v>
      </c>
      <c r="L74" s="157"/>
    </row>
    <row r="75" spans="1:12" ht="15" x14ac:dyDescent="0.25">
      <c r="A75" s="286"/>
      <c r="B75" s="246"/>
      <c r="C75" s="378"/>
      <c r="D75" s="295"/>
      <c r="E75" s="286"/>
      <c r="F75" s="314"/>
      <c r="G75" s="378"/>
      <c r="H75" s="296"/>
      <c r="I75" s="286"/>
      <c r="J75" s="247"/>
      <c r="K75" s="379"/>
      <c r="L75" s="157"/>
    </row>
    <row r="76" spans="1:12" ht="15" x14ac:dyDescent="0.25">
      <c r="A76" s="279" t="s">
        <v>207</v>
      </c>
      <c r="B76" s="246"/>
      <c r="C76" s="280">
        <f>VLOOKUP(A76,SET_import!$A:$B,2,0)</f>
        <v>0</v>
      </c>
      <c r="D76" s="295"/>
      <c r="E76" s="279" t="s">
        <v>183</v>
      </c>
      <c r="F76" s="247"/>
      <c r="G76" s="315">
        <f>VLOOKUP(E76,SET_import!$A:$B,2,0)</f>
        <v>0</v>
      </c>
      <c r="H76" s="243"/>
      <c r="I76" s="279" t="s">
        <v>196</v>
      </c>
      <c r="J76" s="247"/>
      <c r="K76" s="318">
        <f>VLOOKUP(I76,SET_import!$A:$B,2,0)</f>
        <v>11</v>
      </c>
      <c r="L76" s="157"/>
    </row>
    <row r="77" spans="1:12" ht="15" x14ac:dyDescent="0.25">
      <c r="A77" s="279" t="s">
        <v>208</v>
      </c>
      <c r="B77" s="246"/>
      <c r="C77" s="240">
        <f>VLOOKUP(A77,SET_import!$A:$B,2,0)</f>
        <v>0</v>
      </c>
      <c r="D77" s="295"/>
      <c r="E77" s="279" t="s">
        <v>184</v>
      </c>
      <c r="F77" s="247"/>
      <c r="G77" s="240">
        <f>VLOOKUP(E77,SET_import!$A:$B,2,0)</f>
        <v>0</v>
      </c>
      <c r="H77" s="243"/>
      <c r="I77" s="279" t="s">
        <v>197</v>
      </c>
      <c r="J77" s="247"/>
      <c r="K77" s="316">
        <f>VLOOKUP(I77,SET_import!$A:$B,2,0)</f>
        <v>0.03</v>
      </c>
      <c r="L77" s="157"/>
    </row>
    <row r="78" spans="1:12" ht="15" x14ac:dyDescent="0.25">
      <c r="A78" s="139"/>
      <c r="B78" s="246"/>
      <c r="C78" s="381"/>
      <c r="D78" s="141"/>
      <c r="E78" s="139"/>
      <c r="F78" s="246"/>
      <c r="G78" s="381"/>
      <c r="H78" s="142"/>
      <c r="I78" s="139"/>
      <c r="J78" s="247"/>
      <c r="K78" s="382"/>
      <c r="L78" s="157"/>
    </row>
    <row r="79" spans="1:12" ht="15" x14ac:dyDescent="0.25">
      <c r="D79" s="241"/>
      <c r="E79" s="96" t="s">
        <v>185</v>
      </c>
      <c r="F79" s="246"/>
      <c r="G79" s="240">
        <f>VLOOKUP(E79,SET_import!$A:$B,2,0)</f>
        <v>0</v>
      </c>
      <c r="H79" s="243"/>
      <c r="I79" s="96" t="s">
        <v>198</v>
      </c>
      <c r="J79" s="247"/>
      <c r="K79" s="261">
        <f>VLOOKUP(I79,SET_import!$A:$B,2,0)</f>
        <v>0</v>
      </c>
      <c r="L79" s="157"/>
    </row>
    <row r="80" spans="1:12" ht="15" x14ac:dyDescent="0.25">
      <c r="A80" s="429" t="s">
        <v>114</v>
      </c>
      <c r="C80" s="431">
        <f>VLOOKUP(A80,SET_import!$A:$B,2,0)</f>
        <v>15</v>
      </c>
      <c r="D80" s="241"/>
      <c r="E80" s="96"/>
      <c r="F80" s="242"/>
      <c r="G80" s="383"/>
      <c r="H80" s="243"/>
      <c r="I80" s="98" t="s">
        <v>199</v>
      </c>
      <c r="J80" s="247"/>
      <c r="K80" s="260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5"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</mergeCells>
  <phoneticPr fontId="4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13</xdr:row>
                    <xdr:rowOff>9525</xdr:rowOff>
                  </from>
                  <to>
                    <xdr:col>18</xdr:col>
                    <xdr:colOff>152400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276225</xdr:colOff>
                    <xdr:row>0</xdr:row>
                    <xdr:rowOff>161925</xdr:rowOff>
                  </from>
                  <to>
                    <xdr:col>37</xdr:col>
                    <xdr:colOff>304800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5</xdr:row>
                    <xdr:rowOff>171450</xdr:rowOff>
                  </from>
                  <to>
                    <xdr:col>37</xdr:col>
                    <xdr:colOff>304800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276225</xdr:colOff>
                    <xdr:row>8</xdr:row>
                    <xdr:rowOff>85725</xdr:rowOff>
                  </from>
                  <to>
                    <xdr:col>37</xdr:col>
                    <xdr:colOff>304800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276225</xdr:colOff>
                    <xdr:row>11</xdr:row>
                    <xdr:rowOff>0</xdr:rowOff>
                  </from>
                  <to>
                    <xdr:col>37</xdr:col>
                    <xdr:colOff>304800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5" name="Button 404">
              <controlPr defaultSize="0" print="0" autoFill="0" autoPict="0" macro="[0]!StrategyTesterMT5">
                <anchor moveWithCells="1" sizeWithCells="1">
                  <from>
                    <xdr:col>34</xdr:col>
                    <xdr:colOff>276225</xdr:colOff>
                    <xdr:row>3</xdr:row>
                    <xdr:rowOff>66675</xdr:rowOff>
                  </from>
                  <to>
                    <xdr:col>37</xdr:col>
                    <xdr:colOff>304800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 activeCell="B2" sqref="B2"/>
    </sheetView>
  </sheetViews>
  <sheetFormatPr defaultColWidth="8.85546875" defaultRowHeight="12.75" x14ac:dyDescent="0.2"/>
  <cols>
    <col min="1" max="1" width="10" style="416" bestFit="1" customWidth="1"/>
    <col min="2" max="2" width="15.140625" style="451" customWidth="1"/>
    <col min="3" max="3" width="7.5703125" style="416" customWidth="1"/>
    <col min="4" max="4" width="8.42578125" style="416" bestFit="1" customWidth="1"/>
    <col min="5" max="5" width="9" style="416" bestFit="1" customWidth="1"/>
    <col min="6" max="6" width="11.28515625" style="416" customWidth="1"/>
    <col min="7" max="7" width="8.7109375" style="416" bestFit="1" customWidth="1"/>
    <col min="8" max="8" width="9" style="416" bestFit="1" customWidth="1"/>
    <col min="9" max="9" width="18" style="464" bestFit="1" customWidth="1"/>
    <col min="10" max="10" width="11.7109375" style="416" customWidth="1"/>
    <col min="11" max="11" width="13.42578125" style="416" customWidth="1"/>
    <col min="12" max="12" width="7.85546875" style="416" customWidth="1"/>
    <col min="13" max="13" width="7.7109375" style="416" customWidth="1"/>
    <col min="14" max="14" width="9.7109375" style="416" bestFit="1" customWidth="1"/>
    <col min="15" max="15" width="11.7109375" style="416" bestFit="1" customWidth="1"/>
    <col min="16" max="16" width="18.28515625" style="416" customWidth="1"/>
    <col min="17" max="17" width="15.5703125" style="416" bestFit="1" customWidth="1"/>
    <col min="18" max="18" width="12.85546875" style="416" bestFit="1" customWidth="1"/>
    <col min="19" max="16384" width="8.85546875" style="416"/>
  </cols>
  <sheetData>
    <row r="1" spans="1:18" customFormat="1" ht="25.5" x14ac:dyDescent="0.2">
      <c r="A1" s="444" t="s">
        <v>606</v>
      </c>
      <c r="B1" s="445" t="s">
        <v>607</v>
      </c>
      <c r="C1" s="444" t="s">
        <v>608</v>
      </c>
      <c r="D1" s="444" t="s">
        <v>609</v>
      </c>
      <c r="E1" s="444" t="s">
        <v>610</v>
      </c>
      <c r="F1" s="444" t="s">
        <v>632</v>
      </c>
      <c r="G1" s="444" t="s">
        <v>611</v>
      </c>
      <c r="H1" s="444" t="s">
        <v>612</v>
      </c>
      <c r="I1" s="463" t="s">
        <v>613</v>
      </c>
      <c r="J1" s="444" t="s">
        <v>633</v>
      </c>
      <c r="K1" s="444" t="s">
        <v>614</v>
      </c>
      <c r="L1" s="444" t="s">
        <v>615</v>
      </c>
      <c r="M1" s="444" t="s">
        <v>616</v>
      </c>
      <c r="N1" s="444" t="s">
        <v>617</v>
      </c>
      <c r="O1" s="444" t="s">
        <v>618</v>
      </c>
      <c r="P1" s="444" t="s">
        <v>619</v>
      </c>
      <c r="Q1" s="444" t="s">
        <v>620</v>
      </c>
      <c r="R1" s="444" t="s">
        <v>621</v>
      </c>
    </row>
  </sheetData>
  <autoFilter ref="A1:R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6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3" bestFit="1" customWidth="1"/>
  </cols>
  <sheetData>
    <row r="1" spans="1:15" s="447" customFormat="1" ht="25.5" x14ac:dyDescent="0.2">
      <c r="A1" s="444" t="s">
        <v>623</v>
      </c>
      <c r="B1" s="444" t="s">
        <v>622</v>
      </c>
      <c r="C1" s="444" t="s">
        <v>624</v>
      </c>
      <c r="D1" s="444" t="s">
        <v>625</v>
      </c>
      <c r="E1" s="444" t="s">
        <v>626</v>
      </c>
      <c r="F1" s="449" t="s">
        <v>627</v>
      </c>
      <c r="G1" s="444" t="s">
        <v>628</v>
      </c>
      <c r="H1" s="449" t="s">
        <v>635</v>
      </c>
      <c r="I1" s="444" t="s">
        <v>636</v>
      </c>
      <c r="J1" s="449" t="s">
        <v>629</v>
      </c>
      <c r="K1" s="444" t="s">
        <v>630</v>
      </c>
      <c r="L1" s="444" t="s">
        <v>631</v>
      </c>
      <c r="M1" s="444" t="s">
        <v>634</v>
      </c>
      <c r="N1" s="444" t="s">
        <v>89</v>
      </c>
      <c r="O1" s="450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1"/>
  <sheetViews>
    <sheetView workbookViewId="0">
      <pane ySplit="1" topLeftCell="A774" activePane="bottomLeft" state="frozen"/>
      <selection pane="bottomLeft" activeCell="A2" sqref="A2:S816"/>
    </sheetView>
  </sheetViews>
  <sheetFormatPr defaultRowHeight="12.75" x14ac:dyDescent="0.2"/>
  <cols>
    <col min="2" max="2" width="16.5703125" style="443" customWidth="1"/>
    <col min="9" max="9" width="15.42578125" style="443" customWidth="1"/>
    <col min="11" max="11" width="15" bestFit="1" customWidth="1"/>
    <col min="16" max="16" width="19.42578125" customWidth="1"/>
  </cols>
  <sheetData>
    <row r="1" spans="1:19" ht="25.5" x14ac:dyDescent="0.2">
      <c r="A1" s="444" t="s">
        <v>606</v>
      </c>
      <c r="B1" s="445" t="s">
        <v>607</v>
      </c>
      <c r="C1" s="444" t="s">
        <v>608</v>
      </c>
      <c r="D1" s="444" t="s">
        <v>609</v>
      </c>
      <c r="E1" s="444" t="s">
        <v>610</v>
      </c>
      <c r="F1" s="444" t="s">
        <v>632</v>
      </c>
      <c r="G1" s="444" t="s">
        <v>611</v>
      </c>
      <c r="H1" s="444" t="s">
        <v>612</v>
      </c>
      <c r="I1" s="445" t="s">
        <v>613</v>
      </c>
      <c r="J1" s="444" t="s">
        <v>633</v>
      </c>
      <c r="K1" s="444" t="s">
        <v>614</v>
      </c>
      <c r="L1" s="444" t="s">
        <v>615</v>
      </c>
      <c r="M1" s="444" t="s">
        <v>616</v>
      </c>
      <c r="N1" s="444" t="s">
        <v>617</v>
      </c>
      <c r="O1" s="444" t="s">
        <v>618</v>
      </c>
      <c r="P1" s="444" t="s">
        <v>619</v>
      </c>
      <c r="Q1" s="444" t="s">
        <v>620</v>
      </c>
      <c r="R1" s="444" t="s">
        <v>621</v>
      </c>
      <c r="S1" s="444" t="s">
        <v>624</v>
      </c>
    </row>
  </sheetData>
  <autoFilter ref="A1:S10486"/>
  <sortState ref="A814:R816">
    <sortCondition ref="F2:F816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1"/>
  <sheetViews>
    <sheetView workbookViewId="0">
      <pane xSplit="1" ySplit="1" topLeftCell="B131" activePane="bottomRight" state="frozen"/>
      <selection pane="topRight" activeCell="B1" sqref="B1"/>
      <selection pane="bottomLeft" activeCell="A2" sqref="A2"/>
      <selection pane="bottomRight" activeCell="R170" sqref="R170"/>
    </sheetView>
  </sheetViews>
  <sheetFormatPr defaultRowHeight="12.75" x14ac:dyDescent="0.2"/>
  <cols>
    <col min="6" max="6" width="13.28515625" style="446" bestFit="1" customWidth="1"/>
    <col min="8" max="8" width="13.28515625" style="446" bestFit="1" customWidth="1"/>
    <col min="10" max="10" width="13.28515625" style="446" bestFit="1" customWidth="1"/>
    <col min="15" max="15" width="8.85546875" style="393"/>
  </cols>
  <sheetData>
    <row r="1" spans="1:15" s="447" customFormat="1" ht="38.25" x14ac:dyDescent="0.2">
      <c r="A1" s="444" t="s">
        <v>623</v>
      </c>
      <c r="B1" s="444" t="s">
        <v>622</v>
      </c>
      <c r="C1" s="444" t="s">
        <v>624</v>
      </c>
      <c r="D1" s="444" t="s">
        <v>625</v>
      </c>
      <c r="E1" s="444" t="s">
        <v>626</v>
      </c>
      <c r="F1" s="449" t="s">
        <v>627</v>
      </c>
      <c r="G1" s="444" t="s">
        <v>628</v>
      </c>
      <c r="H1" s="449" t="s">
        <v>635</v>
      </c>
      <c r="I1" s="444" t="s">
        <v>636</v>
      </c>
      <c r="J1" s="449" t="s">
        <v>629</v>
      </c>
      <c r="K1" s="444" t="s">
        <v>630</v>
      </c>
      <c r="L1" s="444" t="s">
        <v>631</v>
      </c>
      <c r="M1" s="444" t="s">
        <v>634</v>
      </c>
      <c r="N1" s="444" t="s">
        <v>89</v>
      </c>
      <c r="O1" s="450" t="s">
        <v>96</v>
      </c>
    </row>
  </sheetData>
  <autoFilter ref="A1:O8479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workbookViewId="0">
      <pane ySplit="1" topLeftCell="A1634" activePane="bottomLeft" state="frozen"/>
      <selection pane="bottomLeft"/>
    </sheetView>
  </sheetViews>
  <sheetFormatPr defaultRowHeight="12.75" x14ac:dyDescent="0.2"/>
  <cols>
    <col min="1" max="1" width="8.42578125" customWidth="1"/>
    <col min="2" max="2" width="13.42578125" style="446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6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444" t="s">
        <v>606</v>
      </c>
      <c r="B1" s="445" t="s">
        <v>607</v>
      </c>
      <c r="C1" s="444" t="s">
        <v>608</v>
      </c>
      <c r="D1" s="444" t="s">
        <v>609</v>
      </c>
      <c r="E1" s="444" t="s">
        <v>610</v>
      </c>
      <c r="F1" s="444" t="s">
        <v>632</v>
      </c>
      <c r="G1" s="444" t="s">
        <v>611</v>
      </c>
      <c r="H1" s="444" t="s">
        <v>612</v>
      </c>
      <c r="I1" s="445" t="s">
        <v>613</v>
      </c>
      <c r="J1" s="444" t="s">
        <v>633</v>
      </c>
      <c r="K1" s="444" t="s">
        <v>614</v>
      </c>
      <c r="L1" s="444" t="s">
        <v>615</v>
      </c>
      <c r="M1" s="444" t="s">
        <v>616</v>
      </c>
      <c r="N1" s="444" t="s">
        <v>617</v>
      </c>
      <c r="O1" s="444" t="s">
        <v>618</v>
      </c>
      <c r="P1" s="444" t="s">
        <v>619</v>
      </c>
      <c r="Q1" s="444" t="s">
        <v>620</v>
      </c>
      <c r="R1" s="444" t="s">
        <v>621</v>
      </c>
    </row>
  </sheetData>
  <autoFilter ref="A1:R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6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3" bestFit="1" customWidth="1"/>
  </cols>
  <sheetData>
    <row r="1" spans="1:15" s="447" customFormat="1" ht="25.5" x14ac:dyDescent="0.2">
      <c r="A1" s="444" t="s">
        <v>623</v>
      </c>
      <c r="B1" s="444" t="s">
        <v>622</v>
      </c>
      <c r="C1" s="444" t="s">
        <v>624</v>
      </c>
      <c r="D1" s="444" t="s">
        <v>625</v>
      </c>
      <c r="E1" s="444" t="s">
        <v>626</v>
      </c>
      <c r="F1" s="449" t="s">
        <v>627</v>
      </c>
      <c r="G1" s="444" t="s">
        <v>628</v>
      </c>
      <c r="H1" s="449" t="s">
        <v>635</v>
      </c>
      <c r="I1" s="444" t="s">
        <v>636</v>
      </c>
      <c r="J1" s="449" t="s">
        <v>629</v>
      </c>
      <c r="K1" s="444" t="s">
        <v>630</v>
      </c>
      <c r="L1" s="444" t="s">
        <v>631</v>
      </c>
      <c r="M1" s="444" t="s">
        <v>634</v>
      </c>
      <c r="N1" s="444" t="s">
        <v>89</v>
      </c>
      <c r="O1" s="450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"/>
  <sheetViews>
    <sheetView workbookViewId="0">
      <selection sqref="A1:XFD1048576"/>
    </sheetView>
  </sheetViews>
  <sheetFormatPr defaultRowHeight="12.75" x14ac:dyDescent="0.2"/>
  <cols>
    <col min="2" max="2" width="9.140625" style="443"/>
    <col min="3" max="3" width="9.140625" style="448"/>
    <col min="4" max="4" width="9.140625" style="393"/>
    <col min="7" max="7" width="9.140625" style="393"/>
    <col min="10" max="10" width="9.140625" style="393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Лопатин Александр Валерьевич</cp:lastModifiedBy>
  <cp:lastPrinted>2019-02-08T13:12:40Z</cp:lastPrinted>
  <dcterms:created xsi:type="dcterms:W3CDTF">2016-02-20T10:06:05Z</dcterms:created>
  <dcterms:modified xsi:type="dcterms:W3CDTF">2019-06-18T08:59:47Z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