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Гавр\Desktop\"/>
    </mc:Choice>
  </mc:AlternateContent>
  <bookViews>
    <workbookView xWindow="0" yWindow="0" windowWidth="19200" windowHeight="11745" tabRatio="688"/>
  </bookViews>
  <sheets>
    <sheet name="ТС" sheetId="17" r:id="rId1"/>
    <sheet name="Спреды" sheetId="14" r:id="rId2"/>
    <sheet name="Расчет месячной прибыли" sheetId="18" r:id="rId3"/>
  </sheets>
  <definedNames>
    <definedName name="безубыток" localSheetId="0">#REF!:INDEX(#REF!,MATCH(0,#REF!,-1))</definedName>
    <definedName name="безубыток">#REF!:INDEX(#REF!,MATCH(0,#REF!,-1))</definedName>
    <definedName name="маржа" localSheetId="0">#REF!:INDEX(#REF!,MATCH(0,#REF!,-1))</definedName>
    <definedName name="маржа">#REF!:INDEX(#REF!,MATCH(0,#REF!,-1))</definedName>
    <definedName name="прибыль" localSheetId="0">#REF!:INDEX(#REF!,MATCH(0,#REF!,-1))</definedName>
    <definedName name="прибыль">#REF!:INDEX(#REF!,MATCH(0,#REF!,-1))</definedName>
    <definedName name="сетка" localSheetId="0">#REF!:INDEX(#REF!,MATCH(0,#REF!,-1))</definedName>
    <definedName name="сетка">#REF!:INDEX(#REF!,MATCH(0,#REF!,-1))</definedName>
    <definedName name="ТР" localSheetId="0">#REF!:INDEX(#REF!,MATCH(0,#REF!,-1))</definedName>
    <definedName name="ТР">#REF!:INDEX(#REF!,MATCH(0,#REF!,-1))</definedName>
  </definedNames>
  <calcPr calcId="152511"/>
</workbook>
</file>

<file path=xl/calcChain.xml><?xml version="1.0" encoding="utf-8"?>
<calcChain xmlns="http://schemas.openxmlformats.org/spreadsheetml/2006/main">
  <c r="E5" i="18" l="1"/>
  <c r="E6" i="18"/>
  <c r="E7" i="18" s="1"/>
  <c r="E8" i="18" l="1"/>
  <c r="W27" i="17" l="1"/>
  <c r="U27" i="17"/>
  <c r="S27" i="17"/>
  <c r="Q27" i="17"/>
  <c r="O27" i="17"/>
  <c r="M27" i="17"/>
  <c r="E13" i="17"/>
  <c r="W25" i="17"/>
  <c r="U25" i="17"/>
  <c r="S25" i="17"/>
  <c r="Q25" i="17"/>
  <c r="O25" i="17"/>
  <c r="M25" i="17"/>
  <c r="X24" i="17"/>
  <c r="W24" i="17"/>
  <c r="V24" i="17"/>
  <c r="U24" i="17"/>
  <c r="T24" i="17"/>
  <c r="S24" i="17"/>
  <c r="R24" i="17"/>
  <c r="Q24" i="17"/>
  <c r="P24" i="17"/>
  <c r="O24" i="17"/>
  <c r="N24" i="17"/>
  <c r="M24" i="17"/>
  <c r="L24" i="17"/>
  <c r="J24" i="17"/>
  <c r="H24" i="17"/>
  <c r="F24" i="17"/>
  <c r="X22" i="17"/>
  <c r="W22" i="17"/>
  <c r="V22" i="17"/>
  <c r="U22" i="17"/>
  <c r="T22" i="17"/>
  <c r="S22" i="17"/>
  <c r="R22" i="17"/>
  <c r="Q22" i="17"/>
  <c r="P22" i="17"/>
  <c r="O22" i="17"/>
  <c r="N22" i="17"/>
  <c r="M22" i="17"/>
  <c r="L22" i="17"/>
  <c r="J22" i="17"/>
  <c r="H22" i="17"/>
  <c r="F22" i="17"/>
  <c r="X23" i="17"/>
  <c r="W23" i="17"/>
  <c r="V23" i="17"/>
  <c r="U23" i="17"/>
  <c r="T23" i="17"/>
  <c r="S23" i="17"/>
  <c r="R23" i="17"/>
  <c r="Q23" i="17"/>
  <c r="P23" i="17"/>
  <c r="O23" i="17"/>
  <c r="N23" i="17"/>
  <c r="M23" i="17"/>
  <c r="L23" i="17"/>
  <c r="J23" i="17"/>
  <c r="H23" i="17"/>
  <c r="F23" i="17"/>
  <c r="E3" i="17"/>
  <c r="F3" i="17"/>
  <c r="G3" i="17"/>
  <c r="H3" i="17"/>
  <c r="I3" i="17"/>
  <c r="J3" i="17"/>
  <c r="K3" i="17"/>
  <c r="D2" i="17" l="1"/>
  <c r="C2" i="17"/>
  <c r="W13" i="17" l="1"/>
  <c r="U13" i="17"/>
  <c r="S13" i="17"/>
  <c r="Q13" i="17"/>
  <c r="O13" i="17"/>
  <c r="M13" i="17"/>
  <c r="X26" i="17" l="1"/>
  <c r="W26" i="17"/>
  <c r="V26" i="17"/>
  <c r="U26" i="17"/>
  <c r="T26" i="17"/>
  <c r="S26" i="17"/>
  <c r="X12" i="17"/>
  <c r="W12" i="17"/>
  <c r="X11" i="17"/>
  <c r="W11" i="17"/>
  <c r="X10" i="17"/>
  <c r="W10" i="17"/>
  <c r="W9" i="17"/>
  <c r="X8" i="17"/>
  <c r="W8" i="17"/>
  <c r="X7" i="17"/>
  <c r="W7" i="17"/>
  <c r="X4" i="17"/>
  <c r="W4" i="17"/>
  <c r="X3" i="17"/>
  <c r="W3" i="17"/>
  <c r="V12" i="17"/>
  <c r="U12" i="17"/>
  <c r="V11" i="17"/>
  <c r="U11" i="17"/>
  <c r="V10" i="17"/>
  <c r="U10" i="17"/>
  <c r="U9" i="17"/>
  <c r="V8" i="17"/>
  <c r="U8" i="17"/>
  <c r="V7" i="17"/>
  <c r="U7" i="17"/>
  <c r="V4" i="17"/>
  <c r="U4" i="17"/>
  <c r="V3" i="17"/>
  <c r="U3" i="17"/>
  <c r="T12" i="17"/>
  <c r="S12" i="17"/>
  <c r="T11" i="17"/>
  <c r="S11" i="17"/>
  <c r="T10" i="17"/>
  <c r="S10" i="17"/>
  <c r="S9" i="17"/>
  <c r="T8" i="17"/>
  <c r="S8" i="17"/>
  <c r="T7" i="17"/>
  <c r="S7" i="17"/>
  <c r="T4" i="17"/>
  <c r="S4" i="17"/>
  <c r="T3" i="17"/>
  <c r="S3" i="17"/>
  <c r="R12" i="17"/>
  <c r="Q12" i="17"/>
  <c r="R4" i="17"/>
  <c r="Q4" i="17"/>
  <c r="R3" i="17"/>
  <c r="Q3" i="17"/>
  <c r="P12" i="17"/>
  <c r="O12" i="17"/>
  <c r="O4" i="17"/>
  <c r="P3" i="17"/>
  <c r="P4" i="17" s="1"/>
  <c r="O3" i="17"/>
  <c r="N12" i="17"/>
  <c r="M12" i="17"/>
  <c r="N3" i="17"/>
  <c r="N4" i="17" s="1"/>
  <c r="M3" i="17"/>
  <c r="M4" i="17" s="1"/>
  <c r="L12" i="17"/>
  <c r="K12" i="17"/>
  <c r="L3" i="17"/>
  <c r="L4" i="17" s="1"/>
  <c r="J12" i="17"/>
  <c r="I12" i="17"/>
  <c r="J4" i="17"/>
  <c r="H12" i="17"/>
  <c r="G12" i="17"/>
  <c r="H4" i="17"/>
  <c r="F4" i="17"/>
  <c r="G4" i="17" l="1"/>
  <c r="I4" i="17"/>
  <c r="K4" i="17"/>
  <c r="E4" i="17"/>
  <c r="C6" i="17"/>
  <c r="C5" i="17"/>
  <c r="E12" i="17"/>
  <c r="F12" i="17"/>
  <c r="D4" i="17" l="1"/>
  <c r="C4" i="17"/>
  <c r="C12" i="17"/>
  <c r="Q7" i="17" l="1"/>
  <c r="R7" i="17"/>
  <c r="Q8" i="17"/>
  <c r="F7" i="17"/>
  <c r="O7" i="17"/>
  <c r="M7" i="17"/>
  <c r="K7" i="17"/>
  <c r="I7" i="17"/>
  <c r="G7" i="17"/>
  <c r="E7" i="17"/>
  <c r="N7" i="17"/>
  <c r="L7" i="17"/>
  <c r="J7" i="17"/>
  <c r="P7" i="17"/>
  <c r="H7" i="17"/>
  <c r="C7" i="17" l="1"/>
  <c r="D7" i="17"/>
  <c r="R8" i="17"/>
  <c r="Q9" i="17"/>
  <c r="H8" i="17"/>
  <c r="P8" i="17"/>
  <c r="M8" i="17"/>
  <c r="J8" i="17"/>
  <c r="G8" i="17"/>
  <c r="O8" i="17"/>
  <c r="N8" i="17"/>
  <c r="K8" i="17"/>
  <c r="E8" i="17"/>
  <c r="L8" i="17"/>
  <c r="I8" i="17"/>
  <c r="F8" i="17"/>
  <c r="G9" i="17" l="1"/>
  <c r="K9" i="17"/>
  <c r="O9" i="17"/>
  <c r="I9" i="17"/>
  <c r="E9" i="17"/>
  <c r="M9" i="17"/>
  <c r="C20" i="17" l="1"/>
  <c r="C17" i="17"/>
  <c r="C19" i="17" s="1"/>
  <c r="D8" i="17"/>
  <c r="C8" i="17"/>
  <c r="I13" i="17"/>
  <c r="G13" i="17"/>
  <c r="K13" i="17"/>
  <c r="R10" i="17"/>
  <c r="R26" i="17"/>
  <c r="R11" i="17"/>
  <c r="Q10" i="17"/>
  <c r="Q26" i="17"/>
  <c r="Q11" i="17"/>
  <c r="P10" i="17"/>
  <c r="H10" i="17"/>
  <c r="H26" i="17"/>
  <c r="P26" i="17"/>
  <c r="O26" i="17"/>
  <c r="L26" i="17"/>
  <c r="J26" i="17"/>
  <c r="F26" i="17"/>
  <c r="M26" i="17"/>
  <c r="N26" i="17"/>
  <c r="L11" i="17"/>
  <c r="F10" i="17"/>
  <c r="N10" i="17" l="1"/>
  <c r="E18" i="17"/>
  <c r="J11" i="17"/>
  <c r="K11" i="17"/>
  <c r="M11" i="17"/>
  <c r="K10" i="17"/>
  <c r="J10" i="17"/>
  <c r="P11" i="17"/>
  <c r="O11" i="17"/>
  <c r="M10" i="17"/>
  <c r="L10" i="17"/>
  <c r="F11" i="17"/>
  <c r="N11" i="17"/>
  <c r="H11" i="17"/>
  <c r="O10" i="17"/>
  <c r="G10" i="17"/>
  <c r="I23" i="17"/>
  <c r="E23" i="17"/>
  <c r="K23" i="17"/>
  <c r="G23" i="17"/>
  <c r="I22" i="17"/>
  <c r="I24" i="17" s="1"/>
  <c r="K22" i="17"/>
  <c r="K24" i="17" s="1"/>
  <c r="K25" i="17" s="1"/>
  <c r="K27" i="17" s="1"/>
  <c r="E22" i="17"/>
  <c r="E24" i="17" s="1"/>
  <c r="E25" i="17" s="1"/>
  <c r="E27" i="17" s="1"/>
  <c r="G22" i="17"/>
  <c r="G24" i="17" s="1"/>
  <c r="I11" i="17"/>
  <c r="G11" i="17"/>
  <c r="E11" i="17"/>
  <c r="E10" i="17"/>
  <c r="I10" i="17"/>
  <c r="C16" i="17"/>
  <c r="D16" i="17" s="1"/>
  <c r="C13" i="17"/>
  <c r="C28" i="17" s="1"/>
  <c r="C11" i="17" l="1"/>
  <c r="D22" i="17"/>
  <c r="D23" i="17"/>
  <c r="E26" i="17"/>
  <c r="C23" i="17"/>
  <c r="D10" i="17"/>
  <c r="I25" i="17"/>
  <c r="I27" i="17" s="1"/>
  <c r="I26" i="17"/>
  <c r="K26" i="17"/>
  <c r="G25" i="17"/>
  <c r="G26" i="17"/>
  <c r="C22" i="17"/>
  <c r="C10" i="17"/>
  <c r="C14" i="17"/>
  <c r="D24" i="17"/>
  <c r="C30" i="17" s="1"/>
  <c r="D30" i="17" s="1"/>
  <c r="C24" i="17"/>
  <c r="C15" i="17"/>
  <c r="G27" i="17" l="1"/>
  <c r="C27" i="17" s="1"/>
  <c r="D27" i="17" s="1"/>
  <c r="C26" i="17"/>
  <c r="C25" i="17"/>
  <c r="D25" i="17"/>
  <c r="C31" i="17" l="1"/>
  <c r="C29" i="17"/>
  <c r="D29" i="17" s="1"/>
</calcChain>
</file>

<file path=xl/sharedStrings.xml><?xml version="1.0" encoding="utf-8"?>
<sst xmlns="http://schemas.openxmlformats.org/spreadsheetml/2006/main" count="167" uniqueCount="102">
  <si>
    <t>EURUSD</t>
  </si>
  <si>
    <t>GBPUSD</t>
  </si>
  <si>
    <t>USDCHF</t>
  </si>
  <si>
    <t>USDJPY</t>
  </si>
  <si>
    <t>USDCAD</t>
  </si>
  <si>
    <t>AUDUSD</t>
  </si>
  <si>
    <t>EURGBP</t>
  </si>
  <si>
    <t>CHFJPY</t>
  </si>
  <si>
    <t>EURJPY</t>
  </si>
  <si>
    <t>AUDJPY</t>
  </si>
  <si>
    <t>GBPJPY</t>
  </si>
  <si>
    <t>EURCHF</t>
  </si>
  <si>
    <t>NZDUSD</t>
  </si>
  <si>
    <t>AUDNZD</t>
  </si>
  <si>
    <t>AUDCAD</t>
  </si>
  <si>
    <t>Spread/MaxSpread (F4You)</t>
  </si>
  <si>
    <t>Spread/MaxSpread (Alpari)</t>
  </si>
  <si>
    <t>1/2</t>
  </si>
  <si>
    <t>1.5/3</t>
  </si>
  <si>
    <t>2/4</t>
  </si>
  <si>
    <t>3/6</t>
  </si>
  <si>
    <t>EURCAD</t>
  </si>
  <si>
    <t>2.5/5</t>
  </si>
  <si>
    <t>EURAUD</t>
  </si>
  <si>
    <t>GBPCHF</t>
  </si>
  <si>
    <t>4/8</t>
  </si>
  <si>
    <t>AUDCHF</t>
  </si>
  <si>
    <t>NZDCAD</t>
  </si>
  <si>
    <t>GBPAUD</t>
  </si>
  <si>
    <t>GBPCAD</t>
  </si>
  <si>
    <t>NZDJPY</t>
  </si>
  <si>
    <t>CADCHF</t>
  </si>
  <si>
    <t>CADJPY</t>
  </si>
  <si>
    <t>EURNZD</t>
  </si>
  <si>
    <t>NZDCHF</t>
  </si>
  <si>
    <t>GBPNZD</t>
  </si>
  <si>
    <t>USDSGD</t>
  </si>
  <si>
    <t>3/5</t>
  </si>
  <si>
    <t>4/6</t>
  </si>
  <si>
    <t>3.5/6</t>
  </si>
  <si>
    <t>1.5/2.5</t>
  </si>
  <si>
    <t>5/8</t>
  </si>
  <si>
    <t>11/15</t>
  </si>
  <si>
    <t>Spread/MaxSpread (Robo)</t>
  </si>
  <si>
    <t>3.5/7</t>
  </si>
  <si>
    <t>3.5/8</t>
  </si>
  <si>
    <t>5/9</t>
  </si>
  <si>
    <t>4.5/7</t>
  </si>
  <si>
    <t>4.5/9</t>
  </si>
  <si>
    <t>6/12</t>
  </si>
  <si>
    <t>2.5/6</t>
  </si>
  <si>
    <t>5.5/9</t>
  </si>
  <si>
    <t>2/3</t>
  </si>
  <si>
    <t>Макс.</t>
  </si>
  <si>
    <t>Мин.</t>
  </si>
  <si>
    <t>Расчетный лот</t>
  </si>
  <si>
    <t>Сумма всех депо с учетом лота</t>
  </si>
  <si>
    <t>Делитель мультивалютного депо</t>
  </si>
  <si>
    <t>Расчетный доход в месяц %</t>
  </si>
  <si>
    <t>Макс. возможное количество просевших пар для SO</t>
  </si>
  <si>
    <t>Расчетный депо</t>
  </si>
  <si>
    <t>CloseAllOrders_ByDrawdownPercent</t>
  </si>
  <si>
    <t>Текущий депо ТС</t>
  </si>
  <si>
    <t>Соотношение (доход/ср. просадка) по сравнению с мин. расчетным депо</t>
  </si>
  <si>
    <t>Восстанавливаемость пары (мес.)</t>
  </si>
  <si>
    <t>Устойчивость ТС (сливов в год)</t>
  </si>
  <si>
    <t>Устойчивость ТС (сливов в год) | разница с мин. расчетным депо</t>
  </si>
  <si>
    <t>Расчетный доход в месяц | разница с мин. расчетным депо</t>
  </si>
  <si>
    <t>CloseAllOrders_ByDrawdownMoney</t>
  </si>
  <si>
    <t>Депо пары</t>
  </si>
  <si>
    <t>CurrencyForMinLot (0.01)</t>
  </si>
  <si>
    <t>Расчетный доход в месяц, ед</t>
  </si>
  <si>
    <t>Средний доход в месяц %</t>
  </si>
  <si>
    <t>Средняя просадка</t>
  </si>
  <si>
    <t>К-депо (0.01)</t>
  </si>
  <si>
    <t>К-депо (0.01) x повыш. коэф</t>
  </si>
  <si>
    <t>Повышающий коэфициент</t>
  </si>
  <si>
    <t xml:space="preserve">Мин. расчетный депо ТС </t>
  </si>
  <si>
    <t>Количество пар</t>
  </si>
  <si>
    <t>Ниже расчитываются параметры, изходя из текущего депо ТС</t>
  </si>
  <si>
    <t>AUDCAD(s)</t>
  </si>
  <si>
    <t>AUDCAD(b)</t>
  </si>
  <si>
    <t>AUDNZD(s)</t>
  </si>
  <si>
    <t>AUDNZD(b)</t>
  </si>
  <si>
    <t>AUDUSD(s)</t>
  </si>
  <si>
    <t>AUDUSD(b)</t>
  </si>
  <si>
    <t>EURGBP(s)</t>
  </si>
  <si>
    <t>EURGBP(b)</t>
  </si>
  <si>
    <t>NZDCAD(s)</t>
  </si>
  <si>
    <t>NZDCAD(b)</t>
  </si>
  <si>
    <t>Депо</t>
  </si>
  <si>
    <t>Нач. дата</t>
  </si>
  <si>
    <t>Конечн. Дата</t>
  </si>
  <si>
    <t>Тест. период (мес.)</t>
  </si>
  <si>
    <t>Просадка</t>
  </si>
  <si>
    <t>Доход в месяц</t>
  </si>
  <si>
    <t>Восстанавливаемость (мес.)</t>
  </si>
  <si>
    <t>Название ТС</t>
  </si>
  <si>
    <t>Прибыль</t>
  </si>
  <si>
    <t>Спреды</t>
  </si>
  <si>
    <t>GBPCAD(s)</t>
  </si>
  <si>
    <t>GBPCAD(b)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</si>
</sst>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%"/>
    <numFmt numFmtId="166" formatCode="dd/mm/yy;@"/>
    <numFmt numFmtId="167" formatCode="[$$-409]#,##0"/>
  </numFmts>
  <fonts count="16" x14ac:knownFonts="1">
    <font>
      <sz val="10"/>
      <name val="Arial Cyr"/>
      <charset val="204"/>
    </font>
    <font>
      <b/>
      <sz val="10"/>
      <color theme="0"/>
      <name val="Arial Cyr"/>
      <charset val="204"/>
    </font>
    <font>
      <sz val="10"/>
      <color theme="0"/>
      <name val="Arial Cyr"/>
      <charset val="204"/>
    </font>
    <font>
      <sz val="8"/>
      <color theme="0"/>
      <name val="Arial Cyr"/>
      <charset val="204"/>
    </font>
    <font>
      <b/>
      <sz val="8"/>
      <color rgb="FFFFC000"/>
      <name val="Arial Cyr"/>
      <charset val="204"/>
    </font>
    <font>
      <b/>
      <sz val="10"/>
      <color rgb="FFFFC000"/>
      <name val="Arial Cyr"/>
      <charset val="204"/>
    </font>
    <font>
      <b/>
      <sz val="10"/>
      <color rgb="FFFFFF00"/>
      <name val="Arial Cyr"/>
      <charset val="204"/>
    </font>
    <font>
      <sz val="10"/>
      <color rgb="FFFFFF00"/>
      <name val="Arial Cyr"/>
      <charset val="204"/>
    </font>
    <font>
      <sz val="10"/>
      <name val="Arial Cyr"/>
      <charset val="204"/>
    </font>
    <font>
      <b/>
      <sz val="8"/>
      <color rgb="FFFFFF00"/>
      <name val="Arial Cyr"/>
      <charset val="204"/>
    </font>
    <font>
      <b/>
      <sz val="12"/>
      <name val="Arial Cyr"/>
      <charset val="204"/>
    </font>
    <font>
      <b/>
      <sz val="8"/>
      <color theme="0"/>
      <name val="Arial Cyr"/>
      <charset val="204"/>
    </font>
    <font>
      <b/>
      <sz val="12"/>
      <color theme="0"/>
      <name val="Arial Cyr"/>
      <charset val="204"/>
    </font>
    <font>
      <sz val="9"/>
      <color theme="0"/>
      <name val="Arial Cyr"/>
      <charset val="204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18261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DashDot">
        <color rgb="FFFFFF00"/>
      </left>
      <right style="thin">
        <color indexed="64"/>
      </right>
      <top style="mediumDashDot">
        <color rgb="FFFFFF00"/>
      </top>
      <bottom/>
      <diagonal/>
    </border>
    <border>
      <left style="mediumDashDot">
        <color rgb="FFFFFF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rgb="FFFFFF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rgb="FFFFFF00"/>
      </right>
      <top style="thin">
        <color indexed="64"/>
      </top>
      <bottom style="thin">
        <color indexed="64"/>
      </bottom>
      <diagonal/>
    </border>
    <border>
      <left/>
      <right style="mediumDashDot">
        <color rgb="FFFFFF00"/>
      </right>
      <top style="mediumDashDot">
        <color rgb="FFFFFF00"/>
      </top>
      <bottom/>
      <diagonal/>
    </border>
    <border>
      <left/>
      <right style="mediumDashDot">
        <color rgb="FFFFFF00"/>
      </right>
      <top style="thin">
        <color indexed="64"/>
      </top>
      <bottom style="thin">
        <color indexed="64"/>
      </bottom>
      <diagonal/>
    </border>
    <border>
      <left/>
      <right style="mediumDashDot">
        <color rgb="FFFFFF00"/>
      </right>
      <top style="thin">
        <color indexed="64"/>
      </top>
      <bottom/>
      <diagonal/>
    </border>
    <border>
      <left style="mediumDashDot">
        <color rgb="FFFFFF00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DashDot">
        <color rgb="FFFFFF00"/>
      </right>
      <top/>
      <bottom/>
      <diagonal/>
    </border>
    <border>
      <left style="mediumDashDot">
        <color rgb="FFFFFF00"/>
      </left>
      <right style="thin">
        <color indexed="64"/>
      </right>
      <top/>
      <bottom style="thin">
        <color indexed="64"/>
      </bottom>
      <diagonal/>
    </border>
    <border>
      <left/>
      <right style="mediumDashDot">
        <color rgb="FFFFFF00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DashDot">
        <color rgb="FFFFFF00"/>
      </left>
      <right style="thin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DashDot">
        <color rgb="FFFFFF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DashDot">
        <color rgb="FFFFFF0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DashDot">
        <color rgb="FFFFFF00"/>
      </left>
      <right/>
      <top style="medium">
        <color indexed="64"/>
      </top>
      <bottom style="medium">
        <color indexed="64"/>
      </bottom>
      <diagonal/>
    </border>
    <border>
      <left/>
      <right style="mediumDashDot">
        <color rgb="FFFFFF00"/>
      </right>
      <top style="medium">
        <color indexed="64"/>
      </top>
      <bottom style="medium">
        <color indexed="64"/>
      </bottom>
      <diagonal/>
    </border>
    <border>
      <left style="mediumDashDot">
        <color rgb="FFFFFF00"/>
      </left>
      <right style="thin">
        <color indexed="64"/>
      </right>
      <top style="mediumDashDot">
        <color rgb="FFFFFF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DashDot">
        <color rgb="FFFFFF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DashDot">
        <color rgb="FFFFFF00"/>
      </left>
      <right/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DashDot">
        <color rgb="FFFFFF00"/>
      </left>
      <right/>
      <top style="thin">
        <color theme="0"/>
      </top>
      <bottom style="mediumDashDot">
        <color rgb="FFFFFF00"/>
      </bottom>
      <diagonal/>
    </border>
    <border>
      <left/>
      <right style="mediumDashDot">
        <color rgb="FFFFFF00"/>
      </right>
      <top style="thin">
        <color theme="0"/>
      </top>
      <bottom style="mediumDashDot">
        <color rgb="FFFFFF00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mediumDashDot">
        <color rgb="FFFFFF0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mediumDashDot">
        <color rgb="FFFFFF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rgb="FFFFFF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Dot">
        <color rgb="FFFFFF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 style="mediumDashDot">
        <color rgb="FFFFFF00"/>
      </right>
      <top style="medium">
        <color indexed="64"/>
      </top>
      <bottom style="thin">
        <color theme="0"/>
      </bottom>
      <diagonal/>
    </border>
    <border>
      <left style="mediumDashDot">
        <color rgb="FFFFFF0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DashDot">
        <color rgb="FFFFFF00"/>
      </right>
      <top style="thin">
        <color theme="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0" fontId="15" fillId="14" borderId="0" applyNumberFormat="0" applyBorder="0" applyAlignment="0" applyProtection="0"/>
  </cellStyleXfs>
  <cellXfs count="187">
    <xf numFmtId="0" fontId="0" fillId="0" borderId="0" xfId="0"/>
    <xf numFmtId="0" fontId="2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6" borderId="0" xfId="0" applyFill="1"/>
    <xf numFmtId="0" fontId="3" fillId="7" borderId="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0" fillId="8" borderId="0" xfId="0" applyFill="1"/>
    <xf numFmtId="0" fontId="2" fillId="3" borderId="0" xfId="0" applyFont="1" applyFill="1" applyAlignment="1">
      <alignment horizontal="center" vertical="center"/>
    </xf>
    <xf numFmtId="0" fontId="0" fillId="0" borderId="31" xfId="0" applyBorder="1"/>
    <xf numFmtId="0" fontId="0" fillId="11" borderId="40" xfId="0" applyFill="1" applyBorder="1"/>
    <xf numFmtId="0" fontId="0" fillId="11" borderId="42" xfId="0" applyFill="1" applyBorder="1"/>
    <xf numFmtId="0" fontId="0" fillId="10" borderId="1" xfId="0" applyFill="1" applyBorder="1"/>
    <xf numFmtId="0" fontId="1" fillId="10" borderId="1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9" fontId="1" fillId="7" borderId="48" xfId="1" applyNumberFormat="1" applyFont="1" applyFill="1" applyBorder="1" applyAlignment="1">
      <alignment horizontal="center" vertical="center" wrapText="1"/>
    </xf>
    <xf numFmtId="0" fontId="0" fillId="0" borderId="49" xfId="0" applyBorder="1"/>
    <xf numFmtId="0" fontId="0" fillId="6" borderId="49" xfId="0" applyFill="1" applyBorder="1"/>
    <xf numFmtId="2" fontId="2" fillId="6" borderId="52" xfId="0" applyNumberFormat="1" applyFont="1" applyFill="1" applyBorder="1" applyAlignment="1">
      <alignment horizontal="center" vertical="center" wrapText="1"/>
    </xf>
    <xf numFmtId="2" fontId="2" fillId="6" borderId="53" xfId="0" applyNumberFormat="1" applyFont="1" applyFill="1" applyBorder="1" applyAlignment="1">
      <alignment horizontal="center" vertical="center" wrapText="1"/>
    </xf>
    <xf numFmtId="1" fontId="2" fillId="6" borderId="5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0" fillId="0" borderId="54" xfId="0" applyBorder="1"/>
    <xf numFmtId="1" fontId="6" fillId="6" borderId="52" xfId="0" applyNumberFormat="1" applyFont="1" applyFill="1" applyBorder="1" applyAlignment="1">
      <alignment horizontal="center" vertical="center" wrapText="1"/>
    </xf>
    <xf numFmtId="1" fontId="6" fillId="6" borderId="53" xfId="0" applyNumberFormat="1" applyFont="1" applyFill="1" applyBorder="1" applyAlignment="1">
      <alignment horizontal="center" vertical="center" wrapText="1"/>
    </xf>
    <xf numFmtId="9" fontId="6" fillId="6" borderId="52" xfId="0" applyNumberFormat="1" applyFont="1" applyFill="1" applyBorder="1" applyAlignment="1">
      <alignment horizontal="center" vertical="center" wrapText="1"/>
    </xf>
    <xf numFmtId="9" fontId="6" fillId="6" borderId="53" xfId="0" applyNumberFormat="1" applyFont="1" applyFill="1" applyBorder="1" applyAlignment="1">
      <alignment horizontal="center" vertical="center" wrapText="1"/>
    </xf>
    <xf numFmtId="0" fontId="6" fillId="0" borderId="49" xfId="0" applyFont="1" applyBorder="1"/>
    <xf numFmtId="2" fontId="6" fillId="6" borderId="52" xfId="0" applyNumberFormat="1" applyFont="1" applyFill="1" applyBorder="1" applyAlignment="1">
      <alignment horizontal="center" vertical="center" wrapText="1"/>
    </xf>
    <xf numFmtId="2" fontId="6" fillId="6" borderId="53" xfId="0" applyNumberFormat="1" applyFont="1" applyFill="1" applyBorder="1" applyAlignment="1">
      <alignment horizontal="center" vertical="center" wrapText="1"/>
    </xf>
    <xf numFmtId="0" fontId="6" fillId="6" borderId="49" xfId="0" applyFont="1" applyFill="1" applyBorder="1"/>
    <xf numFmtId="0" fontId="9" fillId="6" borderId="49" xfId="0" applyFont="1" applyFill="1" applyBorder="1" applyAlignment="1">
      <alignment horizontal="center" vertical="center" wrapText="1"/>
    </xf>
    <xf numFmtId="0" fontId="2" fillId="5" borderId="47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1" fontId="2" fillId="6" borderId="52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164" fontId="0" fillId="11" borderId="40" xfId="0" applyNumberFormat="1" applyFill="1" applyBorder="1"/>
    <xf numFmtId="164" fontId="0" fillId="11" borderId="42" xfId="0" applyNumberFormat="1" applyFill="1" applyBorder="1"/>
    <xf numFmtId="1" fontId="2" fillId="6" borderId="52" xfId="0" applyNumberFormat="1" applyFont="1" applyFill="1" applyBorder="1" applyAlignment="1">
      <alignment horizontal="center" vertical="center" wrapText="1"/>
    </xf>
    <xf numFmtId="0" fontId="7" fillId="6" borderId="0" xfId="0" applyFont="1" applyFill="1"/>
    <xf numFmtId="0" fontId="0" fillId="0" borderId="51" xfId="0" applyBorder="1"/>
    <xf numFmtId="1" fontId="2" fillId="13" borderId="50" xfId="0" applyNumberFormat="1" applyFont="1" applyFill="1" applyBorder="1" applyAlignment="1">
      <alignment horizontal="center" vertical="center" wrapText="1"/>
    </xf>
    <xf numFmtId="1" fontId="2" fillId="13" borderId="42" xfId="0" applyNumberFormat="1" applyFont="1" applyFill="1" applyBorder="1" applyAlignment="1">
      <alignment horizontal="center" vertical="center" wrapText="1"/>
    </xf>
    <xf numFmtId="0" fontId="0" fillId="5" borderId="7" xfId="0" applyFill="1" applyBorder="1"/>
    <xf numFmtId="164" fontId="0" fillId="11" borderId="0" xfId="0" applyNumberFormat="1" applyFill="1" applyBorder="1"/>
    <xf numFmtId="0" fontId="0" fillId="11" borderId="0" xfId="0" applyFill="1" applyBorder="1"/>
    <xf numFmtId="0" fontId="0" fillId="12" borderId="28" xfId="0" applyFill="1" applyBorder="1"/>
    <xf numFmtId="0" fontId="2" fillId="10" borderId="22" xfId="0" applyFont="1" applyFill="1" applyBorder="1" applyAlignment="1">
      <alignment horizontal="center" vertical="center"/>
    </xf>
    <xf numFmtId="0" fontId="0" fillId="10" borderId="19" xfId="0" applyFill="1" applyBorder="1"/>
    <xf numFmtId="0" fontId="2" fillId="3" borderId="43" xfId="0" applyFont="1" applyFill="1" applyBorder="1" applyAlignment="1" applyProtection="1">
      <alignment horizontal="center" vertical="center" wrapText="1"/>
      <protection locked="0"/>
    </xf>
    <xf numFmtId="0" fontId="2" fillId="3" borderId="44" xfId="0" applyFont="1" applyFill="1" applyBorder="1" applyAlignment="1" applyProtection="1">
      <alignment horizontal="center" vertical="center" wrapText="1"/>
      <protection locked="0"/>
    </xf>
    <xf numFmtId="0" fontId="1" fillId="5" borderId="33" xfId="0" applyFont="1" applyFill="1" applyBorder="1" applyAlignment="1" applyProtection="1">
      <alignment horizontal="center" vertical="center" wrapText="1"/>
      <protection locked="0"/>
    </xf>
    <xf numFmtId="0" fontId="1" fillId="5" borderId="37" xfId="0" applyFont="1" applyFill="1" applyBorder="1" applyAlignment="1" applyProtection="1">
      <alignment horizontal="center" vertical="center" wrapText="1"/>
      <protection locked="0"/>
    </xf>
    <xf numFmtId="0" fontId="1" fillId="5" borderId="57" xfId="0" applyFont="1" applyFill="1" applyBorder="1" applyAlignment="1" applyProtection="1">
      <alignment horizontal="center" vertical="center" wrapText="1"/>
      <protection locked="0"/>
    </xf>
    <xf numFmtId="0" fontId="7" fillId="5" borderId="0" xfId="0" applyFont="1" applyFill="1" applyBorder="1" applyAlignment="1">
      <alignment vertical="center"/>
    </xf>
    <xf numFmtId="0" fontId="0" fillId="5" borderId="40" xfId="0" applyFill="1" applyBorder="1"/>
    <xf numFmtId="0" fontId="0" fillId="5" borderId="42" xfId="0" applyFill="1" applyBorder="1"/>
    <xf numFmtId="0" fontId="7" fillId="5" borderId="62" xfId="0" applyFont="1" applyFill="1" applyBorder="1" applyAlignment="1">
      <alignment vertical="center"/>
    </xf>
    <xf numFmtId="0" fontId="3" fillId="7" borderId="25" xfId="0" applyFont="1" applyFill="1" applyBorder="1" applyAlignment="1">
      <alignment horizontal="center" vertical="center" wrapText="1"/>
    </xf>
    <xf numFmtId="0" fontId="0" fillId="7" borderId="32" xfId="0" applyFill="1" applyBorder="1"/>
    <xf numFmtId="0" fontId="2" fillId="7" borderId="21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0" fillId="7" borderId="63" xfId="0" applyFill="1" applyBorder="1"/>
    <xf numFmtId="1" fontId="2" fillId="7" borderId="25" xfId="0" applyNumberFormat="1" applyFont="1" applyFill="1" applyBorder="1" applyAlignment="1">
      <alignment horizontal="center" vertical="center"/>
    </xf>
    <xf numFmtId="1" fontId="2" fillId="7" borderId="18" xfId="0" applyNumberFormat="1" applyFont="1" applyFill="1" applyBorder="1" applyAlignment="1">
      <alignment horizontal="center" vertical="center"/>
    </xf>
    <xf numFmtId="0" fontId="1" fillId="7" borderId="64" xfId="0" applyFont="1" applyFill="1" applyBorder="1" applyAlignment="1">
      <alignment horizontal="center" vertical="center" wrapText="1"/>
    </xf>
    <xf numFmtId="0" fontId="2" fillId="7" borderId="43" xfId="0" applyFont="1" applyFill="1" applyBorder="1" applyAlignment="1">
      <alignment horizontal="center" vertical="center" wrapText="1"/>
    </xf>
    <xf numFmtId="0" fontId="2" fillId="7" borderId="44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 applyProtection="1">
      <alignment horizontal="center" vertical="center" wrapText="1"/>
      <protection locked="0"/>
    </xf>
    <xf numFmtId="0" fontId="2" fillId="3" borderId="36" xfId="0" applyFont="1" applyFill="1" applyBorder="1" applyAlignment="1" applyProtection="1">
      <alignment horizontal="center" vertical="center" wrapText="1"/>
      <protection locked="0"/>
    </xf>
    <xf numFmtId="0" fontId="2" fillId="3" borderId="35" xfId="0" applyFont="1" applyFill="1" applyBorder="1" applyAlignment="1" applyProtection="1">
      <alignment horizontal="center" vertical="center" wrapText="1"/>
      <protection locked="0"/>
    </xf>
    <xf numFmtId="0" fontId="2" fillId="3" borderId="39" xfId="0" applyFont="1" applyFill="1" applyBorder="1" applyAlignment="1" applyProtection="1">
      <alignment horizontal="center" vertical="center" wrapText="1"/>
      <protection locked="0"/>
    </xf>
    <xf numFmtId="0" fontId="1" fillId="5" borderId="15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0" fillId="5" borderId="23" xfId="0" applyFont="1" applyFill="1" applyBorder="1"/>
    <xf numFmtId="165" fontId="2" fillId="7" borderId="64" xfId="0" applyNumberFormat="1" applyFont="1" applyFill="1" applyBorder="1" applyAlignment="1">
      <alignment horizontal="center" vertical="center"/>
    </xf>
    <xf numFmtId="165" fontId="2" fillId="7" borderId="67" xfId="0" applyNumberFormat="1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1" fillId="6" borderId="51" xfId="0" applyFont="1" applyFill="1" applyBorder="1" applyAlignment="1">
      <alignment horizontal="center" vertical="center" wrapText="1"/>
    </xf>
    <xf numFmtId="0" fontId="0" fillId="6" borderId="51" xfId="0" applyFill="1" applyBorder="1"/>
    <xf numFmtId="2" fontId="2" fillId="6" borderId="69" xfId="0" applyNumberFormat="1" applyFont="1" applyFill="1" applyBorder="1" applyAlignment="1">
      <alignment horizontal="center" vertical="center" wrapText="1"/>
    </xf>
    <xf numFmtId="1" fontId="2" fillId="6" borderId="69" xfId="0" applyNumberFormat="1" applyFont="1" applyFill="1" applyBorder="1" applyAlignment="1">
      <alignment horizontal="center" vertical="center" wrapText="1"/>
    </xf>
    <xf numFmtId="1" fontId="6" fillId="6" borderId="69" xfId="0" applyNumberFormat="1" applyFont="1" applyFill="1" applyBorder="1" applyAlignment="1">
      <alignment horizontal="center" vertical="center" wrapText="1"/>
    </xf>
    <xf numFmtId="0" fontId="1" fillId="6" borderId="70" xfId="0" applyFont="1" applyFill="1" applyBorder="1" applyAlignment="1">
      <alignment horizontal="center" vertical="center" wrapText="1"/>
    </xf>
    <xf numFmtId="9" fontId="1" fillId="10" borderId="36" xfId="1" applyNumberFormat="1" applyFont="1" applyFill="1" applyBorder="1" applyAlignment="1">
      <alignment horizontal="center" vertical="center" wrapText="1"/>
    </xf>
    <xf numFmtId="0" fontId="1" fillId="6" borderId="53" xfId="0" applyFont="1" applyFill="1" applyBorder="1" applyAlignment="1">
      <alignment horizontal="center" vertical="center" wrapText="1"/>
    </xf>
    <xf numFmtId="1" fontId="2" fillId="6" borderId="52" xfId="0" applyNumberFormat="1" applyFont="1" applyFill="1" applyBorder="1" applyAlignment="1">
      <alignment horizontal="center" vertical="center" wrapText="1"/>
    </xf>
    <xf numFmtId="1" fontId="1" fillId="6" borderId="51" xfId="0" applyNumberFormat="1" applyFont="1" applyFill="1" applyBorder="1" applyAlignment="1">
      <alignment horizontal="center" vertical="center" wrapText="1"/>
    </xf>
    <xf numFmtId="9" fontId="6" fillId="6" borderId="80" xfId="0" applyNumberFormat="1" applyFont="1" applyFill="1" applyBorder="1" applyAlignment="1">
      <alignment horizontal="center" vertical="center" wrapText="1"/>
    </xf>
    <xf numFmtId="9" fontId="6" fillId="6" borderId="81" xfId="0" applyNumberFormat="1" applyFont="1" applyFill="1" applyBorder="1" applyAlignment="1">
      <alignment horizontal="center" vertical="center" wrapText="1"/>
    </xf>
    <xf numFmtId="0" fontId="3" fillId="6" borderId="49" xfId="0" applyFont="1" applyFill="1" applyBorder="1" applyAlignment="1">
      <alignment horizontal="center" vertical="center" wrapText="1"/>
    </xf>
    <xf numFmtId="0" fontId="3" fillId="5" borderId="47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wrapText="1"/>
    </xf>
    <xf numFmtId="0" fontId="3" fillId="10" borderId="30" xfId="0" applyFont="1" applyFill="1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10" borderId="27" xfId="0" applyFont="1" applyFill="1" applyBorder="1" applyAlignment="1">
      <alignment horizontal="center" vertical="center" wrapText="1"/>
    </xf>
    <xf numFmtId="0" fontId="3" fillId="12" borderId="60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9" borderId="27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166" fontId="15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2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9" fontId="2" fillId="15" borderId="63" xfId="1" applyFont="1" applyFill="1" applyBorder="1" applyAlignment="1">
      <alignment horizontal="center" vertical="center"/>
    </xf>
    <xf numFmtId="167" fontId="2" fillId="15" borderId="17" xfId="0" applyNumberFormat="1" applyFont="1" applyFill="1" applyBorder="1" applyAlignment="1">
      <alignment horizontal="center" vertical="center"/>
    </xf>
    <xf numFmtId="1" fontId="2" fillId="15" borderId="21" xfId="0" applyNumberFormat="1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1" fontId="2" fillId="15" borderId="18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1" fillId="16" borderId="7" xfId="0" applyFont="1" applyFill="1" applyBorder="1" applyAlignment="1">
      <alignment horizontal="center" vertical="center" wrapText="1"/>
    </xf>
    <xf numFmtId="0" fontId="1" fillId="16" borderId="9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/>
    </xf>
    <xf numFmtId="0" fontId="1" fillId="16" borderId="13" xfId="0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/>
    </xf>
    <xf numFmtId="0" fontId="1" fillId="16" borderId="0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1" fontId="2" fillId="6" borderId="52" xfId="0" applyNumberFormat="1" applyFont="1" applyFill="1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 vertical="center" wrapText="1"/>
    </xf>
    <xf numFmtId="10" fontId="2" fillId="13" borderId="55" xfId="0" applyNumberFormat="1" applyFont="1" applyFill="1" applyBorder="1" applyAlignment="1">
      <alignment horizontal="center" vertical="center" wrapText="1"/>
    </xf>
    <xf numFmtId="10" fontId="2" fillId="13" borderId="56" xfId="0" applyNumberFormat="1" applyFont="1" applyFill="1" applyBorder="1" applyAlignment="1">
      <alignment horizontal="center" vertical="center" wrapText="1"/>
    </xf>
    <xf numFmtId="1" fontId="2" fillId="13" borderId="52" xfId="0" applyNumberFormat="1" applyFont="1" applyFill="1" applyBorder="1" applyAlignment="1">
      <alignment horizontal="center" vertical="center" wrapText="1"/>
    </xf>
    <xf numFmtId="1" fontId="2" fillId="13" borderId="53" xfId="0" applyNumberFormat="1" applyFont="1" applyFill="1" applyBorder="1" applyAlignment="1">
      <alignment horizontal="center" vertical="center" wrapText="1"/>
    </xf>
    <xf numFmtId="10" fontId="13" fillId="13" borderId="65" xfId="0" applyNumberFormat="1" applyFont="1" applyFill="1" applyBorder="1" applyAlignment="1">
      <alignment horizontal="center" vertical="center" wrapText="1"/>
    </xf>
    <xf numFmtId="10" fontId="13" fillId="13" borderId="66" xfId="0" applyNumberFormat="1" applyFont="1" applyFill="1" applyBorder="1" applyAlignment="1">
      <alignment horizontal="center" vertical="center" wrapText="1"/>
    </xf>
    <xf numFmtId="0" fontId="7" fillId="5" borderId="61" xfId="0" applyFont="1" applyFill="1" applyBorder="1" applyAlignment="1">
      <alignment horizontal="center" vertical="center"/>
    </xf>
    <xf numFmtId="1" fontId="2" fillId="6" borderId="69" xfId="0" applyNumberFormat="1" applyFont="1" applyFill="1" applyBorder="1" applyAlignment="1">
      <alignment horizontal="center" vertical="center" wrapText="1"/>
    </xf>
    <xf numFmtId="165" fontId="2" fillId="5" borderId="24" xfId="0" applyNumberFormat="1" applyFont="1" applyFill="1" applyBorder="1" applyAlignment="1">
      <alignment horizontal="center" vertical="center"/>
    </xf>
    <xf numFmtId="165" fontId="2" fillId="5" borderId="23" xfId="0" applyNumberFormat="1" applyFont="1" applyFill="1" applyBorder="1" applyAlignment="1">
      <alignment horizontal="center" vertical="center"/>
    </xf>
    <xf numFmtId="1" fontId="2" fillId="10" borderId="22" xfId="0" applyNumberFormat="1" applyFont="1" applyFill="1" applyBorder="1" applyAlignment="1">
      <alignment horizontal="center" vertical="center"/>
    </xf>
    <xf numFmtId="1" fontId="2" fillId="10" borderId="73" xfId="0" applyNumberFormat="1" applyFont="1" applyFill="1" applyBorder="1" applyAlignment="1">
      <alignment horizontal="center" vertical="center"/>
    </xf>
    <xf numFmtId="9" fontId="6" fillId="6" borderId="70" xfId="0" applyNumberFormat="1" applyFont="1" applyFill="1" applyBorder="1" applyAlignment="1">
      <alignment horizontal="center" vertical="center" wrapText="1"/>
    </xf>
    <xf numFmtId="9" fontId="6" fillId="6" borderId="71" xfId="0" applyNumberFormat="1" applyFont="1" applyFill="1" applyBorder="1" applyAlignment="1">
      <alignment horizontal="center" vertical="center" wrapText="1"/>
    </xf>
    <xf numFmtId="0" fontId="12" fillId="3" borderId="78" xfId="0" applyFont="1" applyFill="1" applyBorder="1" applyAlignment="1" applyProtection="1">
      <alignment horizontal="center" vertical="center"/>
      <protection locked="0"/>
    </xf>
    <xf numFmtId="0" fontId="12" fillId="3" borderId="79" xfId="0" applyFont="1" applyFill="1" applyBorder="1" applyAlignment="1" applyProtection="1">
      <alignment horizontal="center" vertical="center"/>
      <protection locked="0"/>
    </xf>
    <xf numFmtId="1" fontId="2" fillId="7" borderId="26" xfId="0" applyNumberFormat="1" applyFont="1" applyFill="1" applyBorder="1" applyAlignment="1">
      <alignment horizontal="center" vertical="center"/>
    </xf>
    <xf numFmtId="1" fontId="2" fillId="7" borderId="17" xfId="0" applyNumberFormat="1" applyFont="1" applyFill="1" applyBorder="1" applyAlignment="1">
      <alignment horizontal="center" vertical="center"/>
    </xf>
    <xf numFmtId="1" fontId="1" fillId="10" borderId="19" xfId="0" applyNumberFormat="1" applyFont="1" applyFill="1" applyBorder="1" applyAlignment="1">
      <alignment horizontal="center" vertical="center" wrapText="1"/>
    </xf>
    <xf numFmtId="0" fontId="1" fillId="10" borderId="74" xfId="0" applyFont="1" applyFill="1" applyBorder="1" applyAlignment="1">
      <alignment horizontal="center" vertical="center" wrapText="1"/>
    </xf>
    <xf numFmtId="164" fontId="1" fillId="3" borderId="77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75" xfId="0" applyNumberFormat="1" applyFont="1" applyFill="1" applyBorder="1" applyAlignment="1" applyProtection="1">
      <alignment horizontal="center" vertical="center" wrapText="1"/>
      <protection locked="0"/>
    </xf>
    <xf numFmtId="1" fontId="10" fillId="4" borderId="45" xfId="0" applyNumberFormat="1" applyFont="1" applyFill="1" applyBorder="1" applyAlignment="1">
      <alignment horizontal="center" vertical="center" wrapText="1"/>
    </xf>
    <xf numFmtId="1" fontId="10" fillId="4" borderId="0" xfId="0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3" fillId="6" borderId="49" xfId="0" applyFont="1" applyFill="1" applyBorder="1" applyAlignment="1">
      <alignment horizontal="center" vertical="center" wrapText="1"/>
    </xf>
    <xf numFmtId="1" fontId="1" fillId="6" borderId="72" xfId="0" applyNumberFormat="1" applyFont="1" applyFill="1" applyBorder="1" applyAlignment="1">
      <alignment horizontal="center" vertical="center" wrapText="1"/>
    </xf>
    <xf numFmtId="1" fontId="1" fillId="6" borderId="68" xfId="0" applyNumberFormat="1" applyFont="1" applyFill="1" applyBorder="1" applyAlignment="1">
      <alignment horizontal="center" vertical="center" wrapText="1"/>
    </xf>
    <xf numFmtId="1" fontId="1" fillId="6" borderId="53" xfId="0" applyNumberFormat="1" applyFont="1" applyFill="1" applyBorder="1" applyAlignment="1">
      <alignment horizontal="center" vertical="center" wrapText="1"/>
    </xf>
    <xf numFmtId="0" fontId="1" fillId="6" borderId="53" xfId="0" applyFont="1" applyFill="1" applyBorder="1" applyAlignment="1">
      <alignment horizontal="center" vertical="center" wrapText="1"/>
    </xf>
    <xf numFmtId="1" fontId="1" fillId="7" borderId="58" xfId="0" applyNumberFormat="1" applyFont="1" applyFill="1" applyBorder="1" applyAlignment="1">
      <alignment horizontal="center" vertical="center" wrapText="1"/>
    </xf>
    <xf numFmtId="1" fontId="1" fillId="7" borderId="39" xfId="0" applyNumberFormat="1" applyFont="1" applyFill="1" applyBorder="1" applyAlignment="1">
      <alignment horizontal="center" vertical="center" wrapText="1"/>
    </xf>
    <xf numFmtId="1" fontId="1" fillId="7" borderId="46" xfId="0" applyNumberFormat="1" applyFont="1" applyFill="1" applyBorder="1" applyAlignment="1">
      <alignment horizontal="center" vertical="center" wrapText="1"/>
    </xf>
    <xf numFmtId="1" fontId="1" fillId="7" borderId="38" xfId="0" applyNumberFormat="1" applyFont="1" applyFill="1" applyBorder="1" applyAlignment="1">
      <alignment horizontal="center" vertical="center" wrapText="1"/>
    </xf>
    <xf numFmtId="164" fontId="1" fillId="3" borderId="46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38" xfId="0" applyNumberFormat="1" applyFont="1" applyFill="1" applyBorder="1" applyAlignment="1" applyProtection="1">
      <alignment horizontal="center" vertical="center" wrapText="1"/>
      <protection locked="0"/>
    </xf>
    <xf numFmtId="165" fontId="2" fillId="5" borderId="9" xfId="0" applyNumberFormat="1" applyFont="1" applyFill="1" applyBorder="1" applyAlignment="1">
      <alignment horizontal="center" vertical="center"/>
    </xf>
    <xf numFmtId="165" fontId="2" fillId="5" borderId="59" xfId="0" applyNumberFormat="1" applyFont="1" applyFill="1" applyBorder="1" applyAlignment="1">
      <alignment horizontal="center" vertical="center"/>
    </xf>
    <xf numFmtId="1" fontId="1" fillId="5" borderId="41" xfId="0" applyNumberFormat="1" applyFont="1" applyFill="1" applyBorder="1" applyAlignment="1">
      <alignment horizontal="center" vertical="center" wrapText="1"/>
    </xf>
    <xf numFmtId="1" fontId="1" fillId="5" borderId="44" xfId="0" applyNumberFormat="1" applyFont="1" applyFill="1" applyBorder="1" applyAlignment="1">
      <alignment horizontal="center" vertical="center" wrapText="1"/>
    </xf>
    <xf numFmtId="9" fontId="1" fillId="12" borderId="76" xfId="0" applyNumberFormat="1" applyFont="1" applyFill="1" applyBorder="1" applyAlignment="1">
      <alignment horizontal="center" vertical="center" wrapText="1"/>
    </xf>
    <xf numFmtId="9" fontId="1" fillId="12" borderId="20" xfId="0" applyNumberFormat="1" applyFont="1" applyFill="1" applyBorder="1" applyAlignment="1">
      <alignment horizontal="center" vertical="center" wrapText="1"/>
    </xf>
    <xf numFmtId="1" fontId="2" fillId="10" borderId="1" xfId="0" applyNumberFormat="1" applyFont="1" applyFill="1" applyBorder="1" applyAlignment="1">
      <alignment horizontal="center" vertical="center"/>
    </xf>
    <xf numFmtId="1" fontId="2" fillId="10" borderId="36" xfId="0" applyNumberFormat="1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 wrapText="1"/>
    </xf>
    <xf numFmtId="0" fontId="1" fillId="9" borderId="5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4" fillId="13" borderId="27" xfId="2" applyFont="1" applyFill="1" applyBorder="1" applyAlignment="1">
      <alignment horizontal="center" vertical="center"/>
    </xf>
    <xf numFmtId="0" fontId="14" fillId="13" borderId="19" xfId="2" applyFont="1" applyFill="1" applyBorder="1" applyAlignment="1">
      <alignment horizontal="center" vertical="center"/>
    </xf>
    <xf numFmtId="0" fontId="14" fillId="13" borderId="30" xfId="2" applyFont="1" applyFill="1" applyBorder="1" applyAlignment="1">
      <alignment horizontal="center" vertical="center"/>
    </xf>
    <xf numFmtId="0" fontId="14" fillId="13" borderId="22" xfId="2" applyFont="1" applyFill="1" applyBorder="1" applyAlignment="1">
      <alignment horizontal="center" vertical="center"/>
    </xf>
    <xf numFmtId="0" fontId="14" fillId="13" borderId="26" xfId="2" applyFont="1" applyFill="1" applyBorder="1" applyAlignment="1">
      <alignment horizontal="center" vertical="center"/>
    </xf>
    <xf numFmtId="0" fontId="14" fillId="13" borderId="1" xfId="2" applyFont="1" applyFill="1" applyBorder="1" applyAlignment="1">
      <alignment horizontal="center" vertical="center"/>
    </xf>
    <xf numFmtId="0" fontId="14" fillId="13" borderId="41" xfId="2" applyFont="1" applyFill="1" applyBorder="1" applyAlignment="1">
      <alignment horizontal="center" vertical="center"/>
    </xf>
    <xf numFmtId="0" fontId="14" fillId="13" borderId="84" xfId="2" applyFont="1" applyFill="1" applyBorder="1" applyAlignment="1">
      <alignment horizontal="center" vertical="center"/>
    </xf>
    <xf numFmtId="0" fontId="14" fillId="13" borderId="85" xfId="2" applyFont="1" applyFill="1" applyBorder="1" applyAlignment="1">
      <alignment horizontal="center" vertical="center"/>
    </xf>
    <xf numFmtId="0" fontId="14" fillId="13" borderId="58" xfId="2" applyFont="1" applyFill="1" applyBorder="1" applyAlignment="1">
      <alignment horizontal="center" vertical="center"/>
    </xf>
    <xf numFmtId="0" fontId="14" fillId="13" borderId="82" xfId="2" applyFont="1" applyFill="1" applyBorder="1" applyAlignment="1">
      <alignment horizontal="center" vertical="center"/>
    </xf>
    <xf numFmtId="0" fontId="14" fillId="13" borderId="83" xfId="2" applyFont="1" applyFill="1" applyBorder="1" applyAlignment="1">
      <alignment horizontal="center" vertical="center"/>
    </xf>
  </cellXfs>
  <cellStyles count="3">
    <cellStyle name="Акцент1" xfId="2" builtinId="29"/>
    <cellStyle name="Обычный" xfId="0" builtinId="0"/>
    <cellStyle name="Процентный" xfId="1" builtinId="5"/>
  </cellStyles>
  <dxfs count="5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rgb="FFFF0000"/>
      </font>
      <fill>
        <patternFill patternType="solid">
          <fgColor auto="1"/>
          <bgColor theme="9" tint="-0.499984740745262"/>
        </patternFill>
      </fill>
    </dxf>
  </dxfs>
  <tableStyles count="0" defaultTableStyle="TableStyleMedium2" defaultPivotStyle="PivotStyleLight16"/>
  <colors>
    <mruColors>
      <color rgb="FF182610"/>
      <color rgb="FF500000"/>
      <color rgb="FFFF6633"/>
      <color rgb="FF63BE7B"/>
      <color rgb="FFF8696B"/>
      <color rgb="FFFF7C80"/>
      <color rgb="FFFF5050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tabSelected="1" zoomScale="90" zoomScaleNormal="9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C21" sqref="C21:D21"/>
    </sheetView>
  </sheetViews>
  <sheetFormatPr defaultRowHeight="12.75" x14ac:dyDescent="0.2"/>
  <cols>
    <col min="1" max="1" width="33.5703125" customWidth="1"/>
    <col min="2" max="2" width="0.140625" customWidth="1"/>
    <col min="3" max="4" width="14" customWidth="1"/>
    <col min="5" max="5" width="11.85546875" customWidth="1"/>
    <col min="6" max="6" width="11.140625" bestFit="1" customWidth="1"/>
    <col min="7" max="8" width="11" bestFit="1" customWidth="1"/>
    <col min="9" max="10" width="11.140625" bestFit="1" customWidth="1"/>
    <col min="11" max="12" width="11" bestFit="1" customWidth="1"/>
    <col min="13" max="18" width="11" customWidth="1"/>
    <col min="19" max="20" width="11" bestFit="1" customWidth="1"/>
    <col min="21" max="22" width="11.140625" bestFit="1" customWidth="1"/>
    <col min="23" max="24" width="11.5703125" customWidth="1"/>
    <col min="25" max="25" width="12.140625" customWidth="1"/>
  </cols>
  <sheetData>
    <row r="1" spans="1:29" ht="27.75" customHeight="1" thickBot="1" x14ac:dyDescent="0.25">
      <c r="A1" s="150" t="s">
        <v>97</v>
      </c>
      <c r="B1" s="151"/>
      <c r="C1" s="76" t="s">
        <v>54</v>
      </c>
      <c r="D1" s="77" t="s">
        <v>53</v>
      </c>
      <c r="E1" s="55" t="s">
        <v>80</v>
      </c>
      <c r="F1" s="56" t="s">
        <v>81</v>
      </c>
      <c r="G1" s="55" t="s">
        <v>82</v>
      </c>
      <c r="H1" s="56" t="s">
        <v>83</v>
      </c>
      <c r="I1" s="55" t="s">
        <v>84</v>
      </c>
      <c r="J1" s="56" t="s">
        <v>85</v>
      </c>
      <c r="K1" s="55" t="s">
        <v>86</v>
      </c>
      <c r="L1" s="56" t="s">
        <v>87</v>
      </c>
      <c r="M1" s="55" t="s">
        <v>100</v>
      </c>
      <c r="N1" s="56" t="s">
        <v>101</v>
      </c>
      <c r="O1" s="55" t="s">
        <v>88</v>
      </c>
      <c r="P1" s="56" t="s">
        <v>89</v>
      </c>
      <c r="Q1" s="55"/>
      <c r="R1" s="56"/>
      <c r="S1" s="55"/>
      <c r="T1" s="56"/>
      <c r="U1" s="55"/>
      <c r="V1" s="56"/>
      <c r="W1" s="57"/>
      <c r="X1" s="56"/>
    </row>
    <row r="2" spans="1:29" ht="20.100000000000001" customHeight="1" x14ac:dyDescent="0.2">
      <c r="A2" s="15" t="s">
        <v>74</v>
      </c>
      <c r="B2" s="4"/>
      <c r="C2" s="16">
        <f>IF(SUM(E2:X2)&gt;0,MIN(E2:X2),"")</f>
        <v>600</v>
      </c>
      <c r="D2" s="39">
        <f>IF(SUM(E2:X2)&gt;0,MAX(E2:X2),"")</f>
        <v>1700</v>
      </c>
      <c r="E2" s="53">
        <v>600</v>
      </c>
      <c r="F2" s="54">
        <v>600</v>
      </c>
      <c r="G2" s="53">
        <v>1200</v>
      </c>
      <c r="H2" s="54">
        <v>700</v>
      </c>
      <c r="I2" s="53">
        <v>700</v>
      </c>
      <c r="J2" s="54">
        <v>1400</v>
      </c>
      <c r="K2" s="53">
        <v>800</v>
      </c>
      <c r="L2" s="54">
        <v>900</v>
      </c>
      <c r="M2" s="53">
        <v>1700</v>
      </c>
      <c r="N2" s="54">
        <v>1000</v>
      </c>
      <c r="O2" s="53">
        <v>700</v>
      </c>
      <c r="P2" s="54">
        <v>800</v>
      </c>
      <c r="Q2" s="53"/>
      <c r="R2" s="54"/>
      <c r="S2" s="53"/>
      <c r="T2" s="54"/>
      <c r="U2" s="53"/>
      <c r="V2" s="54"/>
      <c r="W2" s="53"/>
      <c r="X2" s="54"/>
    </row>
    <row r="3" spans="1:29" ht="20.100000000000001" customHeight="1" x14ac:dyDescent="0.2">
      <c r="A3" s="15" t="s">
        <v>76</v>
      </c>
      <c r="B3" s="4"/>
      <c r="C3" s="161">
        <v>1</v>
      </c>
      <c r="D3" s="162"/>
      <c r="E3" s="70">
        <f t="shared" ref="E3:X3" si="0">IF(E2,$C$3,"")</f>
        <v>1</v>
      </c>
      <c r="F3" s="71">
        <f t="shared" si="0"/>
        <v>1</v>
      </c>
      <c r="G3" s="70">
        <f t="shared" si="0"/>
        <v>1</v>
      </c>
      <c r="H3" s="71">
        <f t="shared" si="0"/>
        <v>1</v>
      </c>
      <c r="I3" s="70">
        <f t="shared" si="0"/>
        <v>1</v>
      </c>
      <c r="J3" s="71">
        <f t="shared" si="0"/>
        <v>1</v>
      </c>
      <c r="K3" s="70">
        <f t="shared" si="0"/>
        <v>1</v>
      </c>
      <c r="L3" s="71">
        <f t="shared" si="0"/>
        <v>1</v>
      </c>
      <c r="M3" s="70">
        <f t="shared" si="0"/>
        <v>1</v>
      </c>
      <c r="N3" s="71">
        <f t="shared" si="0"/>
        <v>1</v>
      </c>
      <c r="O3" s="70">
        <f t="shared" si="0"/>
        <v>1</v>
      </c>
      <c r="P3" s="71">
        <f t="shared" si="0"/>
        <v>1</v>
      </c>
      <c r="Q3" s="70" t="str">
        <f t="shared" si="0"/>
        <v/>
      </c>
      <c r="R3" s="71" t="str">
        <f t="shared" si="0"/>
        <v/>
      </c>
      <c r="S3" s="70" t="str">
        <f t="shared" si="0"/>
        <v/>
      </c>
      <c r="T3" s="71" t="str">
        <f t="shared" si="0"/>
        <v/>
      </c>
      <c r="U3" s="70" t="str">
        <f t="shared" si="0"/>
        <v/>
      </c>
      <c r="V3" s="71" t="str">
        <f t="shared" si="0"/>
        <v/>
      </c>
      <c r="W3" s="70" t="str">
        <f t="shared" si="0"/>
        <v/>
      </c>
      <c r="X3" s="71" t="str">
        <f t="shared" si="0"/>
        <v/>
      </c>
    </row>
    <row r="4" spans="1:29" ht="20.100000000000001" customHeight="1" x14ac:dyDescent="0.2">
      <c r="A4" s="15" t="s">
        <v>75</v>
      </c>
      <c r="B4" s="43"/>
      <c r="C4" s="16">
        <f>IF(SUM(E4:X4)&gt;0,MIN(E4:X4),"")</f>
        <v>600</v>
      </c>
      <c r="D4" s="39">
        <f>IF(SUM(E4:X4)&gt;0,MAX(E4:X4),"")</f>
        <v>1700</v>
      </c>
      <c r="E4" s="70">
        <f t="shared" ref="E4:X4" si="1">IF(E2,E2*E3,"")</f>
        <v>600</v>
      </c>
      <c r="F4" s="71">
        <f t="shared" si="1"/>
        <v>600</v>
      </c>
      <c r="G4" s="70">
        <f t="shared" si="1"/>
        <v>1200</v>
      </c>
      <c r="H4" s="71">
        <f t="shared" si="1"/>
        <v>700</v>
      </c>
      <c r="I4" s="70">
        <f t="shared" si="1"/>
        <v>700</v>
      </c>
      <c r="J4" s="71">
        <f t="shared" si="1"/>
        <v>1400</v>
      </c>
      <c r="K4" s="70">
        <f t="shared" si="1"/>
        <v>800</v>
      </c>
      <c r="L4" s="71">
        <f t="shared" si="1"/>
        <v>900</v>
      </c>
      <c r="M4" s="70">
        <f t="shared" si="1"/>
        <v>1700</v>
      </c>
      <c r="N4" s="71">
        <f t="shared" si="1"/>
        <v>1000</v>
      </c>
      <c r="O4" s="70">
        <f t="shared" si="1"/>
        <v>700</v>
      </c>
      <c r="P4" s="71">
        <f t="shared" si="1"/>
        <v>800</v>
      </c>
      <c r="Q4" s="70" t="str">
        <f t="shared" si="1"/>
        <v/>
      </c>
      <c r="R4" s="71" t="str">
        <f t="shared" si="1"/>
        <v/>
      </c>
      <c r="S4" s="70" t="str">
        <f t="shared" si="1"/>
        <v/>
      </c>
      <c r="T4" s="71" t="str">
        <f t="shared" si="1"/>
        <v/>
      </c>
      <c r="U4" s="70" t="str">
        <f t="shared" si="1"/>
        <v/>
      </c>
      <c r="V4" s="71" t="str">
        <f t="shared" si="1"/>
        <v/>
      </c>
      <c r="W4" s="70" t="str">
        <f t="shared" si="1"/>
        <v/>
      </c>
      <c r="X4" s="71" t="str">
        <f t="shared" si="1"/>
        <v/>
      </c>
    </row>
    <row r="5" spans="1:29" ht="20.100000000000001" customHeight="1" x14ac:dyDescent="0.2">
      <c r="A5" s="5" t="s">
        <v>72</v>
      </c>
      <c r="C5" s="159" t="str">
        <f>IFERROR(AVERAGE(E5:X5),"")</f>
        <v/>
      </c>
      <c r="D5" s="160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</row>
    <row r="6" spans="1:29" ht="20.100000000000001" customHeight="1" x14ac:dyDescent="0.2">
      <c r="A6" s="6" t="s">
        <v>73</v>
      </c>
      <c r="C6" s="157" t="str">
        <f>IFERROR(AVERAGE(E6:X6),"")</f>
        <v/>
      </c>
      <c r="D6" s="158"/>
      <c r="E6" s="74"/>
      <c r="F6" s="75"/>
      <c r="G6" s="74"/>
      <c r="H6" s="75"/>
      <c r="I6" s="74"/>
      <c r="J6" s="75"/>
      <c r="K6" s="74"/>
      <c r="L6" s="75"/>
      <c r="M6" s="74"/>
      <c r="N6" s="75"/>
      <c r="O6" s="74"/>
      <c r="P6" s="75"/>
      <c r="Q6" s="74"/>
      <c r="R6" s="75"/>
      <c r="S6" s="74"/>
      <c r="T6" s="75"/>
      <c r="U6" s="74"/>
      <c r="V6" s="75"/>
      <c r="W6" s="74"/>
      <c r="X6" s="75"/>
    </row>
    <row r="7" spans="1:29" ht="20.100000000000001" customHeight="1" x14ac:dyDescent="0.2">
      <c r="A7" s="95" t="s">
        <v>55</v>
      </c>
      <c r="B7" s="44"/>
      <c r="C7" s="83">
        <f>IF(SUM(E7:X7)&gt;0,MIN(E7:X7),"")</f>
        <v>0.01</v>
      </c>
      <c r="D7" s="90">
        <f>IF(SUM(E7:X7)&gt;0,MAX(E7:X7),"")</f>
        <v>0.02</v>
      </c>
      <c r="E7" s="85">
        <f t="shared" ref="E7:X7" si="2">IF(E2,ROUNDDOWN($D$4/E4*0.01,2),"")</f>
        <v>0.02</v>
      </c>
      <c r="F7" s="22">
        <f t="shared" si="2"/>
        <v>0.02</v>
      </c>
      <c r="G7" s="21">
        <f t="shared" si="2"/>
        <v>0.01</v>
      </c>
      <c r="H7" s="22">
        <f t="shared" si="2"/>
        <v>0.02</v>
      </c>
      <c r="I7" s="21">
        <f t="shared" si="2"/>
        <v>0.02</v>
      </c>
      <c r="J7" s="22">
        <f t="shared" si="2"/>
        <v>0.01</v>
      </c>
      <c r="K7" s="21">
        <f t="shared" si="2"/>
        <v>0.02</v>
      </c>
      <c r="L7" s="22">
        <f t="shared" si="2"/>
        <v>0.01</v>
      </c>
      <c r="M7" s="21">
        <f t="shared" si="2"/>
        <v>0.01</v>
      </c>
      <c r="N7" s="22">
        <f t="shared" si="2"/>
        <v>0.01</v>
      </c>
      <c r="O7" s="21">
        <f t="shared" si="2"/>
        <v>0.02</v>
      </c>
      <c r="P7" s="22">
        <f t="shared" si="2"/>
        <v>0.02</v>
      </c>
      <c r="Q7" s="21" t="str">
        <f t="shared" si="2"/>
        <v/>
      </c>
      <c r="R7" s="22" t="str">
        <f t="shared" si="2"/>
        <v/>
      </c>
      <c r="S7" s="21" t="str">
        <f t="shared" si="2"/>
        <v/>
      </c>
      <c r="T7" s="22" t="str">
        <f t="shared" si="2"/>
        <v/>
      </c>
      <c r="U7" s="21" t="str">
        <f t="shared" si="2"/>
        <v/>
      </c>
      <c r="V7" s="22" t="str">
        <f t="shared" si="2"/>
        <v/>
      </c>
      <c r="W7" s="21" t="str">
        <f t="shared" si="2"/>
        <v/>
      </c>
      <c r="X7" s="22" t="str">
        <f t="shared" si="2"/>
        <v/>
      </c>
    </row>
    <row r="8" spans="1:29" ht="20.100000000000001" customHeight="1" x14ac:dyDescent="0.2">
      <c r="A8" s="152" t="s">
        <v>60</v>
      </c>
      <c r="B8" s="84"/>
      <c r="C8" s="153">
        <f>IF(SUM(E9:X9)&gt;0,MIN(E9:X9),"")</f>
        <v>1200</v>
      </c>
      <c r="D8" s="155">
        <f>IF(SUM(E9:X9)&gt;0,MAX(E9:X9),"")</f>
        <v>1700</v>
      </c>
      <c r="E8" s="86">
        <f t="shared" ref="E8:X8" si="3">IF(E2,ROUNDUP(E7,2)/0.01*E4,"")</f>
        <v>1200</v>
      </c>
      <c r="F8" s="23">
        <f t="shared" si="3"/>
        <v>1200</v>
      </c>
      <c r="G8" s="42">
        <f t="shared" si="3"/>
        <v>1200</v>
      </c>
      <c r="H8" s="23">
        <f t="shared" si="3"/>
        <v>1400</v>
      </c>
      <c r="I8" s="42">
        <f t="shared" si="3"/>
        <v>1400</v>
      </c>
      <c r="J8" s="23">
        <f t="shared" si="3"/>
        <v>1400</v>
      </c>
      <c r="K8" s="42">
        <f t="shared" si="3"/>
        <v>1600</v>
      </c>
      <c r="L8" s="23">
        <f t="shared" si="3"/>
        <v>900</v>
      </c>
      <c r="M8" s="42">
        <f t="shared" si="3"/>
        <v>1700</v>
      </c>
      <c r="N8" s="23">
        <f t="shared" si="3"/>
        <v>1000</v>
      </c>
      <c r="O8" s="42">
        <f t="shared" si="3"/>
        <v>1400</v>
      </c>
      <c r="P8" s="23">
        <f t="shared" si="3"/>
        <v>1600</v>
      </c>
      <c r="Q8" s="42" t="str">
        <f t="shared" si="3"/>
        <v/>
      </c>
      <c r="R8" s="23" t="str">
        <f t="shared" si="3"/>
        <v/>
      </c>
      <c r="S8" s="42" t="str">
        <f t="shared" si="3"/>
        <v/>
      </c>
      <c r="T8" s="23" t="str">
        <f t="shared" si="3"/>
        <v/>
      </c>
      <c r="U8" s="42" t="str">
        <f t="shared" si="3"/>
        <v/>
      </c>
      <c r="V8" s="23" t="str">
        <f t="shared" si="3"/>
        <v/>
      </c>
      <c r="W8" s="42" t="str">
        <f t="shared" si="3"/>
        <v/>
      </c>
      <c r="X8" s="23" t="str">
        <f t="shared" si="3"/>
        <v/>
      </c>
    </row>
    <row r="9" spans="1:29" ht="20.100000000000001" customHeight="1" x14ac:dyDescent="0.2">
      <c r="A9" s="152"/>
      <c r="B9" s="84"/>
      <c r="C9" s="154"/>
      <c r="D9" s="156"/>
      <c r="E9" s="133">
        <f>IF(OR(E2&gt;0,F2&gt;0),MAX(E8:F8),"")</f>
        <v>1200</v>
      </c>
      <c r="F9" s="125"/>
      <c r="G9" s="124">
        <f>IF(OR(G2&gt;0,H2&gt;0),MAX(G8:H8),"")</f>
        <v>1400</v>
      </c>
      <c r="H9" s="125"/>
      <c r="I9" s="124">
        <f>IF(OR(I2&gt;0,J2&gt;0),MAX(I8:J8),"")</f>
        <v>1400</v>
      </c>
      <c r="J9" s="125"/>
      <c r="K9" s="124">
        <f>IF(OR(K2&gt;0,L2&gt;0),MAX(K8:L8),"")</f>
        <v>1600</v>
      </c>
      <c r="L9" s="125"/>
      <c r="M9" s="124">
        <f>IF(OR(M2&gt;0,N2&gt;0),MAX(M8:N8),"")</f>
        <v>1700</v>
      </c>
      <c r="N9" s="125"/>
      <c r="O9" s="124">
        <f>IF(OR(O2&gt;0,P2&gt;0),MAX(O8:P8),"")</f>
        <v>1600</v>
      </c>
      <c r="P9" s="125"/>
      <c r="Q9" s="124" t="str">
        <f>IF(OR(Q2&gt;0,R2&gt;0),MAX(Q8:R8),"")</f>
        <v/>
      </c>
      <c r="R9" s="125"/>
      <c r="S9" s="124" t="str">
        <f>IF(OR(S2&gt;0,T2&gt;0),MAX(S8:T8),"")</f>
        <v/>
      </c>
      <c r="T9" s="125"/>
      <c r="U9" s="124" t="str">
        <f>IF(OR(U2&gt;0,V2&gt;0),MAX(U8:V8),"")</f>
        <v/>
      </c>
      <c r="V9" s="125"/>
      <c r="W9" s="124" t="str">
        <f>IF(OR(W2&gt;0,X2&gt;0),MAX(W8:X8),"")</f>
        <v/>
      </c>
      <c r="X9" s="125"/>
    </row>
    <row r="10" spans="1:29" ht="20.100000000000001" customHeight="1" x14ac:dyDescent="0.2">
      <c r="A10" s="35" t="s">
        <v>70</v>
      </c>
      <c r="B10" s="84"/>
      <c r="C10" s="88">
        <f>IF(SUM(E10:X10)&gt;0,MIN(E10:X10),"")</f>
        <v>3000</v>
      </c>
      <c r="D10" s="90">
        <f>IF(SUM(E10:X10)&gt;0,MAX(E10:X10),"")</f>
        <v>6000</v>
      </c>
      <c r="E10" s="87">
        <f t="shared" ref="E10:X10" si="4">IF(E2,$C$19/(E7*100),"")</f>
        <v>3000</v>
      </c>
      <c r="F10" s="28">
        <f t="shared" si="4"/>
        <v>3000</v>
      </c>
      <c r="G10" s="27">
        <f t="shared" si="4"/>
        <v>6000</v>
      </c>
      <c r="H10" s="28">
        <f t="shared" si="4"/>
        <v>3000</v>
      </c>
      <c r="I10" s="27">
        <f t="shared" si="4"/>
        <v>3000</v>
      </c>
      <c r="J10" s="28">
        <f t="shared" si="4"/>
        <v>6000</v>
      </c>
      <c r="K10" s="27">
        <f t="shared" si="4"/>
        <v>3000</v>
      </c>
      <c r="L10" s="28">
        <f t="shared" si="4"/>
        <v>6000</v>
      </c>
      <c r="M10" s="27">
        <f t="shared" si="4"/>
        <v>6000</v>
      </c>
      <c r="N10" s="28">
        <f t="shared" si="4"/>
        <v>6000</v>
      </c>
      <c r="O10" s="27">
        <f t="shared" si="4"/>
        <v>3000</v>
      </c>
      <c r="P10" s="28">
        <f t="shared" si="4"/>
        <v>3000</v>
      </c>
      <c r="Q10" s="27" t="str">
        <f t="shared" si="4"/>
        <v/>
      </c>
      <c r="R10" s="28" t="str">
        <f t="shared" si="4"/>
        <v/>
      </c>
      <c r="S10" s="27" t="str">
        <f t="shared" si="4"/>
        <v/>
      </c>
      <c r="T10" s="28" t="str">
        <f t="shared" si="4"/>
        <v/>
      </c>
      <c r="U10" s="27" t="str">
        <f t="shared" si="4"/>
        <v/>
      </c>
      <c r="V10" s="28" t="str">
        <f t="shared" si="4"/>
        <v/>
      </c>
      <c r="W10" s="27" t="str">
        <f t="shared" si="4"/>
        <v/>
      </c>
      <c r="X10" s="28" t="str">
        <f t="shared" si="4"/>
        <v/>
      </c>
    </row>
    <row r="11" spans="1:29" ht="20.100000000000001" customHeight="1" x14ac:dyDescent="0.2">
      <c r="A11" s="35" t="s">
        <v>61</v>
      </c>
      <c r="B11" s="44"/>
      <c r="C11" s="138">
        <f>IFERROR(AVERAGE(E11:X11),"")</f>
        <v>0.22222222222222221</v>
      </c>
      <c r="D11" s="139"/>
      <c r="E11" s="29">
        <f t="shared" ref="E11:X11" si="5">IF(E2,E8/$C$19,"")</f>
        <v>0.2</v>
      </c>
      <c r="F11" s="30">
        <f t="shared" si="5"/>
        <v>0.2</v>
      </c>
      <c r="G11" s="29">
        <f t="shared" si="5"/>
        <v>0.2</v>
      </c>
      <c r="H11" s="30">
        <f t="shared" si="5"/>
        <v>0.23333333333333334</v>
      </c>
      <c r="I11" s="29">
        <f t="shared" si="5"/>
        <v>0.23333333333333334</v>
      </c>
      <c r="J11" s="30">
        <f t="shared" si="5"/>
        <v>0.23333333333333334</v>
      </c>
      <c r="K11" s="29">
        <f t="shared" si="5"/>
        <v>0.26666666666666666</v>
      </c>
      <c r="L11" s="30">
        <f t="shared" si="5"/>
        <v>0.15</v>
      </c>
      <c r="M11" s="29">
        <f t="shared" si="5"/>
        <v>0.28333333333333333</v>
      </c>
      <c r="N11" s="30">
        <f t="shared" si="5"/>
        <v>0.16666666666666666</v>
      </c>
      <c r="O11" s="29">
        <f t="shared" si="5"/>
        <v>0.23333333333333334</v>
      </c>
      <c r="P11" s="30">
        <f t="shared" si="5"/>
        <v>0.26666666666666666</v>
      </c>
      <c r="Q11" s="29" t="str">
        <f t="shared" si="5"/>
        <v/>
      </c>
      <c r="R11" s="30" t="str">
        <f t="shared" si="5"/>
        <v/>
      </c>
      <c r="S11" s="29" t="str">
        <f t="shared" si="5"/>
        <v/>
      </c>
      <c r="T11" s="30" t="str">
        <f t="shared" si="5"/>
        <v/>
      </c>
      <c r="U11" s="29" t="str">
        <f t="shared" si="5"/>
        <v/>
      </c>
      <c r="V11" s="30" t="str">
        <f t="shared" si="5"/>
        <v/>
      </c>
      <c r="W11" s="29" t="str">
        <f t="shared" si="5"/>
        <v/>
      </c>
      <c r="X11" s="30" t="str">
        <f t="shared" si="5"/>
        <v/>
      </c>
    </row>
    <row r="12" spans="1:29" ht="20.100000000000001" customHeight="1" thickBot="1" x14ac:dyDescent="0.25">
      <c r="A12" s="96" t="s">
        <v>64</v>
      </c>
      <c r="B12" s="36"/>
      <c r="C12" s="165" t="str">
        <f>IFERROR(AVERAGE(E12:X12),"")</f>
        <v/>
      </c>
      <c r="D12" s="166"/>
      <c r="E12" s="45" t="str">
        <f t="shared" ref="E12:F12" si="6">IF(E5,(100/E5),"")</f>
        <v/>
      </c>
      <c r="F12" s="46" t="str">
        <f t="shared" si="6"/>
        <v/>
      </c>
      <c r="G12" s="45" t="str">
        <f t="shared" ref="G12:X12" si="7">IF(G5,(100/G5),"")</f>
        <v/>
      </c>
      <c r="H12" s="46" t="str">
        <f t="shared" si="7"/>
        <v/>
      </c>
      <c r="I12" s="45" t="str">
        <f t="shared" si="7"/>
        <v/>
      </c>
      <c r="J12" s="46" t="str">
        <f t="shared" si="7"/>
        <v/>
      </c>
      <c r="K12" s="45" t="str">
        <f t="shared" si="7"/>
        <v/>
      </c>
      <c r="L12" s="46" t="str">
        <f t="shared" si="7"/>
        <v/>
      </c>
      <c r="M12" s="45" t="str">
        <f t="shared" si="7"/>
        <v/>
      </c>
      <c r="N12" s="46" t="str">
        <f t="shared" si="7"/>
        <v/>
      </c>
      <c r="O12" s="45" t="str">
        <f t="shared" si="7"/>
        <v/>
      </c>
      <c r="P12" s="46" t="str">
        <f t="shared" si="7"/>
        <v/>
      </c>
      <c r="Q12" s="45" t="str">
        <f t="shared" si="7"/>
        <v/>
      </c>
      <c r="R12" s="46" t="str">
        <f t="shared" si="7"/>
        <v/>
      </c>
      <c r="S12" s="45" t="str">
        <f t="shared" si="7"/>
        <v/>
      </c>
      <c r="T12" s="46" t="str">
        <f t="shared" si="7"/>
        <v/>
      </c>
      <c r="U12" s="45" t="str">
        <f t="shared" si="7"/>
        <v/>
      </c>
      <c r="V12" s="46" t="str">
        <f t="shared" si="7"/>
        <v/>
      </c>
      <c r="W12" s="45" t="str">
        <f t="shared" si="7"/>
        <v/>
      </c>
      <c r="X12" s="46" t="str">
        <f t="shared" si="7"/>
        <v/>
      </c>
    </row>
    <row r="13" spans="1:29" ht="20.100000000000001" customHeight="1" thickBot="1" x14ac:dyDescent="0.25">
      <c r="A13" s="97" t="s">
        <v>58</v>
      </c>
      <c r="B13" s="47"/>
      <c r="C13" s="163" t="str">
        <f>IF(SUM(E13:X13)&gt;0,IFERROR(SUM(E13:X13),""),"")</f>
        <v/>
      </c>
      <c r="D13" s="164"/>
      <c r="E13" s="126" t="str">
        <f>IFERROR(IF(OR(F$5&gt;0,E$5&gt;0),(IFERROR(E$5/E$3,"0")+IFERROR(F$5/F$3,"0"))/($C$19/E$9)/100,""),"введи К-депо")</f>
        <v/>
      </c>
      <c r="F13" s="127"/>
      <c r="G13" s="126" t="str">
        <f>IFERROR(IF(OR(H5&gt;0,G5&gt;0),(IFERROR(G5/G3,"0")+IFERROR(H5/H3,"0"))/($C$19/G9)/100,""),"введи К-депо")</f>
        <v/>
      </c>
      <c r="H13" s="127"/>
      <c r="I13" s="126" t="str">
        <f>IFERROR(IF(OR(J5&gt;0,I5&gt;0),(IFERROR(I5/I3,"0")+IFERROR(J5/J3,"0"))/($C$19/I9)/100,""),"введи К-депо")</f>
        <v/>
      </c>
      <c r="J13" s="127"/>
      <c r="K13" s="126" t="str">
        <f>IFERROR(IF(OR(L5&gt;0,K5&gt;0),(IFERROR(K5/K3,"0")+IFERROR(L5/L3,"0"))/($C$19/K9)/100,""),"введи К-депо")</f>
        <v/>
      </c>
      <c r="L13" s="127"/>
      <c r="M13" s="126" t="str">
        <f>IFERROR(IF(OR(N5&gt;0,M5&gt;0),(IFERROR(M5/M3,"0")+IFERROR(N5/N3,"0"))/($C$19/M9)/100,""),"введи К-депо")</f>
        <v/>
      </c>
      <c r="N13" s="127"/>
      <c r="O13" s="126" t="str">
        <f>IFERROR(IF(OR(P5&gt;0,O5&gt;0),(IFERROR(O5/O3,"0")+IFERROR(P5/P3,"0"))/($C$19/O9)/100,""),"введи К-депо")</f>
        <v/>
      </c>
      <c r="P13" s="127"/>
      <c r="Q13" s="126" t="str">
        <f>IFERROR(IF(OR(R5&gt;0,Q5&gt;0),(IFERROR(Q5/Q3,"0")+IFERROR(R5/R3,"0"))/($C$19/Q9)/100,""),"введи К-депо")</f>
        <v/>
      </c>
      <c r="R13" s="127"/>
      <c r="S13" s="126" t="str">
        <f>IFERROR(IF(OR(T5&gt;0,S5&gt;0),(IFERROR(S5/S3,"0")+IFERROR(T5/T3,"0"))/($C$19/S9)/100,""),"введи К-депо")</f>
        <v/>
      </c>
      <c r="T13" s="127"/>
      <c r="U13" s="126" t="str">
        <f>IFERROR(IF(OR(V5&gt;0,U5&gt;0),(IFERROR(U5/U3,"0")+IFERROR(V5/V3,"0"))/($C$19/U9)/100,""),"введи К-депо")</f>
        <v/>
      </c>
      <c r="V13" s="127"/>
      <c r="W13" s="126" t="str">
        <f>IFERROR(IF(OR(X5&gt;0,W5&gt;0),(IFERROR(W5/W3,"0")+IFERROR(X5/X3,"0"))/($C$19/W9)/100,""),"введи К-депо")</f>
        <v/>
      </c>
      <c r="X13" s="127"/>
      <c r="AC13" s="1"/>
    </row>
    <row r="14" spans="1:29" ht="20.100000000000001" customHeight="1" x14ac:dyDescent="0.2">
      <c r="A14" s="98" t="s">
        <v>71</v>
      </c>
      <c r="B14" s="51"/>
      <c r="C14" s="136" t="str">
        <f>IFERROR(C19*C13,"")</f>
        <v/>
      </c>
      <c r="D14" s="137"/>
      <c r="E14" s="48"/>
      <c r="F14" s="41"/>
      <c r="G14" s="40"/>
      <c r="H14" s="41"/>
      <c r="I14" s="40"/>
      <c r="J14" s="41"/>
      <c r="K14" s="40"/>
      <c r="L14" s="41"/>
      <c r="M14" s="40"/>
      <c r="N14" s="41"/>
      <c r="O14" s="40"/>
      <c r="P14" s="41"/>
      <c r="Q14" s="40"/>
      <c r="R14" s="41"/>
      <c r="S14" s="40"/>
      <c r="T14" s="41"/>
      <c r="U14" s="40"/>
      <c r="V14" s="41"/>
      <c r="W14" s="10"/>
      <c r="X14" s="11"/>
    </row>
    <row r="15" spans="1:29" ht="20.100000000000001" customHeight="1" x14ac:dyDescent="0.2">
      <c r="A15" s="99" t="s">
        <v>65</v>
      </c>
      <c r="B15" s="37"/>
      <c r="C15" s="169" t="str">
        <f>IFERROR((C13/C11)*12,"")</f>
        <v/>
      </c>
      <c r="D15" s="170"/>
      <c r="E15" s="48"/>
      <c r="F15" s="41"/>
      <c r="G15" s="40"/>
      <c r="H15" s="41"/>
      <c r="I15" s="40"/>
      <c r="J15" s="41"/>
      <c r="K15" s="40"/>
      <c r="L15" s="41"/>
      <c r="M15" s="40"/>
      <c r="N15" s="41"/>
      <c r="O15" s="40"/>
      <c r="P15" s="41"/>
      <c r="Q15" s="40"/>
      <c r="R15" s="41"/>
      <c r="S15" s="40"/>
      <c r="T15" s="41"/>
      <c r="U15" s="40"/>
      <c r="V15" s="41"/>
      <c r="W15" s="10"/>
      <c r="X15" s="11"/>
    </row>
    <row r="16" spans="1:29" ht="26.25" customHeight="1" x14ac:dyDescent="0.2">
      <c r="A16" s="14" t="s">
        <v>59</v>
      </c>
      <c r="B16" s="12"/>
      <c r="C16" s="13">
        <f>IFERROR(ROUNDDOWN(C19/D8,0),"")</f>
        <v>3</v>
      </c>
      <c r="D16" s="89">
        <f>IFERROR(C16/C20,"")</f>
        <v>0.5</v>
      </c>
      <c r="E16" s="48"/>
      <c r="F16" s="41"/>
      <c r="G16" s="40"/>
      <c r="H16" s="41"/>
      <c r="I16" s="40"/>
      <c r="J16" s="41"/>
      <c r="K16" s="40"/>
      <c r="L16" s="41"/>
      <c r="M16" s="40"/>
      <c r="N16" s="41"/>
      <c r="O16" s="40"/>
      <c r="P16" s="41"/>
      <c r="Q16" s="40"/>
      <c r="R16" s="41"/>
      <c r="S16" s="40"/>
      <c r="T16" s="41"/>
      <c r="U16" s="40"/>
      <c r="V16" s="41"/>
      <c r="W16" s="10"/>
      <c r="X16" s="11"/>
    </row>
    <row r="17" spans="1:24" ht="20.100000000000001" customHeight="1" thickBot="1" x14ac:dyDescent="0.25">
      <c r="A17" s="100" t="s">
        <v>56</v>
      </c>
      <c r="B17" s="52"/>
      <c r="C17" s="144">
        <f>IF(SUM(E9:X9)&gt;0,SUM(E9:X9),"")</f>
        <v>8900</v>
      </c>
      <c r="D17" s="145"/>
      <c r="E17" s="49"/>
      <c r="F17" s="11"/>
      <c r="G17" s="10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  <c r="T17" s="11"/>
      <c r="U17" s="10"/>
      <c r="V17" s="11"/>
      <c r="W17" s="10"/>
      <c r="X17" s="11"/>
    </row>
    <row r="18" spans="1:24" ht="20.100000000000001" customHeight="1" thickBot="1" x14ac:dyDescent="0.25">
      <c r="A18" s="101" t="s">
        <v>57</v>
      </c>
      <c r="B18" s="50"/>
      <c r="C18" s="146">
        <v>1.5</v>
      </c>
      <c r="D18" s="147"/>
      <c r="E18" s="167">
        <f>IF(SUM(E2:X2)&gt;0,IFERROR(IF($C$18=1,"100",C19/C17),""),"")</f>
        <v>0.6741573033707865</v>
      </c>
      <c r="F18" s="168"/>
      <c r="G18" s="10"/>
      <c r="H18" s="11"/>
      <c r="I18" s="10"/>
      <c r="J18" s="11"/>
      <c r="K18" s="10"/>
      <c r="L18" s="11"/>
      <c r="M18" s="10"/>
      <c r="N18" s="11"/>
      <c r="O18" s="10"/>
      <c r="P18" s="11"/>
      <c r="Q18" s="10"/>
      <c r="R18" s="11"/>
      <c r="S18" s="10"/>
      <c r="T18" s="11"/>
      <c r="U18" s="10"/>
      <c r="V18" s="11"/>
      <c r="W18" s="10"/>
      <c r="X18" s="11"/>
    </row>
    <row r="19" spans="1:24" ht="20.100000000000001" customHeight="1" thickBot="1" x14ac:dyDescent="0.25">
      <c r="A19" s="102" t="s">
        <v>77</v>
      </c>
      <c r="B19" s="7"/>
      <c r="C19" s="148">
        <f>IFERROR(ROUNDUP(C17/C18,-2),"")</f>
        <v>6000</v>
      </c>
      <c r="D19" s="149"/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  <c r="S19" s="10"/>
      <c r="T19" s="11"/>
      <c r="U19" s="10"/>
      <c r="V19" s="11"/>
      <c r="W19" s="10"/>
      <c r="X19" s="11"/>
    </row>
    <row r="20" spans="1:24" ht="20.100000000000001" customHeight="1" thickBot="1" x14ac:dyDescent="0.25">
      <c r="A20" s="103" t="s">
        <v>78</v>
      </c>
      <c r="B20" s="9"/>
      <c r="C20" s="171">
        <f>IF(COUNT(E9:X9)&gt;0,COUNT(E9:X9),"")</f>
        <v>6</v>
      </c>
      <c r="D20" s="172"/>
      <c r="E20" s="49"/>
      <c r="F20" s="11"/>
      <c r="G20" s="10"/>
      <c r="H20" s="11"/>
      <c r="I20" s="10"/>
      <c r="J20" s="11"/>
      <c r="K20" s="10"/>
      <c r="L20" s="11"/>
      <c r="M20" s="10"/>
      <c r="N20" s="11"/>
      <c r="O20" s="10"/>
      <c r="P20" s="11"/>
      <c r="Q20" s="10"/>
      <c r="R20" s="11"/>
      <c r="S20" s="10"/>
      <c r="T20" s="11"/>
      <c r="U20" s="10"/>
      <c r="V20" s="11"/>
      <c r="W20" s="10"/>
      <c r="X20" s="11"/>
    </row>
    <row r="21" spans="1:24" ht="20.100000000000001" customHeight="1" x14ac:dyDescent="0.2">
      <c r="A21" s="104" t="s">
        <v>62</v>
      </c>
      <c r="B21" s="8"/>
      <c r="C21" s="140"/>
      <c r="D21" s="141"/>
      <c r="E21" s="132" t="s">
        <v>79</v>
      </c>
      <c r="F21" s="132"/>
      <c r="G21" s="132"/>
      <c r="H21" s="132"/>
      <c r="I21" s="132"/>
      <c r="J21" s="132"/>
      <c r="K21" s="132"/>
      <c r="L21" s="132"/>
      <c r="M21" s="61"/>
      <c r="N21" s="58"/>
      <c r="O21" s="59"/>
      <c r="P21" s="58"/>
      <c r="Q21" s="61"/>
      <c r="R21" s="58"/>
      <c r="S21" s="59"/>
      <c r="T21" s="58"/>
      <c r="U21" s="59"/>
      <c r="V21" s="58"/>
      <c r="W21" s="59"/>
      <c r="X21" s="60"/>
    </row>
    <row r="22" spans="1:24" ht="20.100000000000001" customHeight="1" x14ac:dyDescent="0.2">
      <c r="A22" s="35" t="s">
        <v>55</v>
      </c>
      <c r="B22" s="31"/>
      <c r="C22" s="83" t="str">
        <f>IF(SUM(E22:X22)&gt;0,MIN(E22:X22),"")</f>
        <v/>
      </c>
      <c r="D22" s="90" t="str">
        <f>IF(SUM(E22:X22)&gt;0,MAX(E22:X22),"")</f>
        <v/>
      </c>
      <c r="E22" s="32" t="str">
        <f t="shared" ref="E22:X22" si="8">IF($C$21,IF(E2,ROUNDDOWN(E7*($C$21/$C$19),2),""),"")</f>
        <v/>
      </c>
      <c r="F22" s="33" t="str">
        <f t="shared" si="8"/>
        <v/>
      </c>
      <c r="G22" s="32" t="str">
        <f t="shared" si="8"/>
        <v/>
      </c>
      <c r="H22" s="33" t="str">
        <f t="shared" si="8"/>
        <v/>
      </c>
      <c r="I22" s="32" t="str">
        <f t="shared" si="8"/>
        <v/>
      </c>
      <c r="J22" s="33" t="str">
        <f t="shared" si="8"/>
        <v/>
      </c>
      <c r="K22" s="32" t="str">
        <f t="shared" si="8"/>
        <v/>
      </c>
      <c r="L22" s="33" t="str">
        <f t="shared" si="8"/>
        <v/>
      </c>
      <c r="M22" s="32" t="str">
        <f t="shared" si="8"/>
        <v/>
      </c>
      <c r="N22" s="33" t="str">
        <f t="shared" si="8"/>
        <v/>
      </c>
      <c r="O22" s="32" t="str">
        <f t="shared" si="8"/>
        <v/>
      </c>
      <c r="P22" s="33" t="str">
        <f t="shared" si="8"/>
        <v/>
      </c>
      <c r="Q22" s="32" t="str">
        <f t="shared" si="8"/>
        <v/>
      </c>
      <c r="R22" s="33" t="str">
        <f t="shared" si="8"/>
        <v/>
      </c>
      <c r="S22" s="32" t="str">
        <f t="shared" si="8"/>
        <v/>
      </c>
      <c r="T22" s="33" t="str">
        <f t="shared" si="8"/>
        <v/>
      </c>
      <c r="U22" s="32" t="str">
        <f t="shared" si="8"/>
        <v/>
      </c>
      <c r="V22" s="33" t="str">
        <f t="shared" si="8"/>
        <v/>
      </c>
      <c r="W22" s="32" t="str">
        <f t="shared" si="8"/>
        <v/>
      </c>
      <c r="X22" s="33" t="str">
        <f t="shared" si="8"/>
        <v/>
      </c>
    </row>
    <row r="23" spans="1:24" ht="20.100000000000001" customHeight="1" x14ac:dyDescent="0.2">
      <c r="A23" s="95" t="s">
        <v>70</v>
      </c>
      <c r="B23" s="19"/>
      <c r="C23" s="92" t="str">
        <f>IF(SUM(E23:X23)&gt;0,MIN(E23:X23),"")</f>
        <v/>
      </c>
      <c r="D23" s="90" t="str">
        <f>IF(SUM(E23:X23)&gt;0,MAX(E23:X23),"")</f>
        <v/>
      </c>
      <c r="E23" s="38" t="str">
        <f t="shared" ref="E23:X23" si="9">IF($C$21,IF(E2,$C$19/(E7*100),""),"")</f>
        <v/>
      </c>
      <c r="F23" s="23" t="str">
        <f t="shared" si="9"/>
        <v/>
      </c>
      <c r="G23" s="91" t="str">
        <f t="shared" si="9"/>
        <v/>
      </c>
      <c r="H23" s="23" t="str">
        <f t="shared" si="9"/>
        <v/>
      </c>
      <c r="I23" s="91" t="str">
        <f t="shared" si="9"/>
        <v/>
      </c>
      <c r="J23" s="23" t="str">
        <f t="shared" si="9"/>
        <v/>
      </c>
      <c r="K23" s="91" t="str">
        <f t="shared" si="9"/>
        <v/>
      </c>
      <c r="L23" s="23" t="str">
        <f t="shared" si="9"/>
        <v/>
      </c>
      <c r="M23" s="91" t="str">
        <f t="shared" si="9"/>
        <v/>
      </c>
      <c r="N23" s="23" t="str">
        <f t="shared" si="9"/>
        <v/>
      </c>
      <c r="O23" s="91" t="str">
        <f t="shared" si="9"/>
        <v/>
      </c>
      <c r="P23" s="23" t="str">
        <f t="shared" si="9"/>
        <v/>
      </c>
      <c r="Q23" s="91" t="str">
        <f t="shared" si="9"/>
        <v/>
      </c>
      <c r="R23" s="23" t="str">
        <f t="shared" si="9"/>
        <v/>
      </c>
      <c r="S23" s="91" t="str">
        <f t="shared" si="9"/>
        <v/>
      </c>
      <c r="T23" s="23" t="str">
        <f t="shared" si="9"/>
        <v/>
      </c>
      <c r="U23" s="91" t="str">
        <f t="shared" si="9"/>
        <v/>
      </c>
      <c r="V23" s="23" t="str">
        <f t="shared" si="9"/>
        <v/>
      </c>
      <c r="W23" s="91" t="str">
        <f t="shared" si="9"/>
        <v/>
      </c>
      <c r="X23" s="23" t="str">
        <f t="shared" si="9"/>
        <v/>
      </c>
    </row>
    <row r="24" spans="1:24" ht="20.100000000000001" customHeight="1" x14ac:dyDescent="0.2">
      <c r="A24" s="35" t="s">
        <v>68</v>
      </c>
      <c r="B24" s="34"/>
      <c r="C24" s="83" t="str">
        <f>IF(SUM(E24:X24)&gt;0,MIN(E24:X24),"")</f>
        <v/>
      </c>
      <c r="D24" s="90" t="str">
        <f>IF(SUM(E24:X24)&gt;0,MAX(E24:X24),"")</f>
        <v/>
      </c>
      <c r="E24" s="27" t="str">
        <f t="shared" ref="E24:X24" si="10">IF($C$21,IF(E2,ROUNDUP(E22,2)/0.01*E4,""),"")</f>
        <v/>
      </c>
      <c r="F24" s="28" t="str">
        <f t="shared" si="10"/>
        <v/>
      </c>
      <c r="G24" s="27" t="str">
        <f t="shared" si="10"/>
        <v/>
      </c>
      <c r="H24" s="28" t="str">
        <f t="shared" si="10"/>
        <v/>
      </c>
      <c r="I24" s="27" t="str">
        <f t="shared" si="10"/>
        <v/>
      </c>
      <c r="J24" s="28" t="str">
        <f t="shared" si="10"/>
        <v/>
      </c>
      <c r="K24" s="27" t="str">
        <f t="shared" si="10"/>
        <v/>
      </c>
      <c r="L24" s="28" t="str">
        <f t="shared" si="10"/>
        <v/>
      </c>
      <c r="M24" s="27" t="str">
        <f t="shared" si="10"/>
        <v/>
      </c>
      <c r="N24" s="28" t="str">
        <f t="shared" si="10"/>
        <v/>
      </c>
      <c r="O24" s="27" t="str">
        <f t="shared" si="10"/>
        <v/>
      </c>
      <c r="P24" s="28" t="str">
        <f t="shared" si="10"/>
        <v/>
      </c>
      <c r="Q24" s="27" t="str">
        <f t="shared" si="10"/>
        <v/>
      </c>
      <c r="R24" s="28" t="str">
        <f t="shared" si="10"/>
        <v/>
      </c>
      <c r="S24" s="27" t="str">
        <f t="shared" si="10"/>
        <v/>
      </c>
      <c r="T24" s="28" t="str">
        <f t="shared" si="10"/>
        <v/>
      </c>
      <c r="U24" s="27" t="str">
        <f t="shared" si="10"/>
        <v/>
      </c>
      <c r="V24" s="28" t="str">
        <f t="shared" si="10"/>
        <v/>
      </c>
      <c r="W24" s="27" t="str">
        <f t="shared" si="10"/>
        <v/>
      </c>
      <c r="X24" s="28" t="str">
        <f t="shared" si="10"/>
        <v/>
      </c>
    </row>
    <row r="25" spans="1:24" ht="20.100000000000001" customHeight="1" x14ac:dyDescent="0.2">
      <c r="A25" s="95" t="s">
        <v>69</v>
      </c>
      <c r="B25" s="20"/>
      <c r="C25" s="83" t="str">
        <f>IF(SUM(E25:X25)&gt;0,MIN(E25:X25),"")</f>
        <v/>
      </c>
      <c r="D25" s="90" t="str">
        <f>IF(SUM(E25:X25)&gt;0,MAX(E25:X25),"")</f>
        <v/>
      </c>
      <c r="E25" s="128" t="str">
        <f>IF($C$21,IF(OR(E2&gt;0,F2&gt;0),MAX(E24:F24),""),"")</f>
        <v/>
      </c>
      <c r="F25" s="129"/>
      <c r="G25" s="128" t="str">
        <f>IF($C$21,IF(OR(G2&gt;0,H2&gt;0),MAX(G24:H24),""),"")</f>
        <v/>
      </c>
      <c r="H25" s="129"/>
      <c r="I25" s="128" t="str">
        <f>IF($C$21,IF(OR(I2&gt;0,J2&gt;0),MAX(I24:J24),""),"")</f>
        <v/>
      </c>
      <c r="J25" s="129"/>
      <c r="K25" s="128" t="str">
        <f>IF($C$21,IF(OR(K2&gt;0,L2&gt;0),MAX(K24:L24),""),"")</f>
        <v/>
      </c>
      <c r="L25" s="129"/>
      <c r="M25" s="128" t="str">
        <f>IF($C$21,IF(OR(M2&gt;0,N2&gt;0),MAX(M24:N24),""),"")</f>
        <v/>
      </c>
      <c r="N25" s="129"/>
      <c r="O25" s="128" t="str">
        <f>IF($C$21,IF(OR(O2&gt;0,P2&gt;0),MAX(O24:P24),""),"")</f>
        <v/>
      </c>
      <c r="P25" s="129"/>
      <c r="Q25" s="128" t="str">
        <f>IF($C$21,IF(OR(Q2&gt;0,R2&gt;0),MAX(Q24:R24),""),"")</f>
        <v/>
      </c>
      <c r="R25" s="129"/>
      <c r="S25" s="128" t="str">
        <f>IF($C$21,IF(OR(S2&gt;0,T2&gt;0),MAX(S24:T24),""),"")</f>
        <v/>
      </c>
      <c r="T25" s="129"/>
      <c r="U25" s="128" t="str">
        <f>IF($C$21,IF(OR(U2&gt;0,V2&gt;0),MAX(U24:V24),""),"")</f>
        <v/>
      </c>
      <c r="V25" s="129"/>
      <c r="W25" s="128" t="str">
        <f>IF($C$21,IF(OR(W2&gt;0,X2&gt;0),MAX(W24:X24),""),"")</f>
        <v/>
      </c>
      <c r="X25" s="129"/>
    </row>
    <row r="26" spans="1:24" ht="20.100000000000001" customHeight="1" thickBot="1" x14ac:dyDescent="0.25">
      <c r="A26" s="35" t="s">
        <v>61</v>
      </c>
      <c r="B26" s="26"/>
      <c r="C26" s="138" t="str">
        <f>IFERROR(AVERAGE(E26:X26),"")</f>
        <v/>
      </c>
      <c r="D26" s="139"/>
      <c r="E26" s="93" t="str">
        <f t="shared" ref="E26:X26" si="11">IFERROR(IF($C$21,E24/$C$21,""),"")</f>
        <v/>
      </c>
      <c r="F26" s="94" t="str">
        <f t="shared" si="11"/>
        <v/>
      </c>
      <c r="G26" s="29" t="str">
        <f t="shared" si="11"/>
        <v/>
      </c>
      <c r="H26" s="30" t="str">
        <f t="shared" si="11"/>
        <v/>
      </c>
      <c r="I26" s="29" t="str">
        <f t="shared" si="11"/>
        <v/>
      </c>
      <c r="J26" s="30" t="str">
        <f t="shared" si="11"/>
        <v/>
      </c>
      <c r="K26" s="29" t="str">
        <f t="shared" si="11"/>
        <v/>
      </c>
      <c r="L26" s="30" t="str">
        <f t="shared" si="11"/>
        <v/>
      </c>
      <c r="M26" s="29" t="str">
        <f t="shared" si="11"/>
        <v/>
      </c>
      <c r="N26" s="30" t="str">
        <f t="shared" si="11"/>
        <v/>
      </c>
      <c r="O26" s="29" t="str">
        <f t="shared" si="11"/>
        <v/>
      </c>
      <c r="P26" s="30" t="str">
        <f t="shared" si="11"/>
        <v/>
      </c>
      <c r="Q26" s="29" t="str">
        <f t="shared" si="11"/>
        <v/>
      </c>
      <c r="R26" s="30" t="str">
        <f t="shared" si="11"/>
        <v/>
      </c>
      <c r="S26" s="29" t="str">
        <f t="shared" si="11"/>
        <v/>
      </c>
      <c r="T26" s="30" t="str">
        <f t="shared" si="11"/>
        <v/>
      </c>
      <c r="U26" s="29" t="str">
        <f t="shared" si="11"/>
        <v/>
      </c>
      <c r="V26" s="30" t="str">
        <f t="shared" si="11"/>
        <v/>
      </c>
      <c r="W26" s="29" t="str">
        <f t="shared" si="11"/>
        <v/>
      </c>
      <c r="X26" s="30" t="str">
        <f t="shared" si="11"/>
        <v/>
      </c>
    </row>
    <row r="27" spans="1:24" ht="27.95" customHeight="1" thickBot="1" x14ac:dyDescent="0.25">
      <c r="A27" s="62" t="s">
        <v>67</v>
      </c>
      <c r="B27" s="63"/>
      <c r="C27" s="80" t="str">
        <f>IF(SUM(E27:X27)&gt;0,IFERROR(SUM(E27:X27),""),"")</f>
        <v/>
      </c>
      <c r="D27" s="81" t="str">
        <f>IFERROR(C27-C13,"")</f>
        <v/>
      </c>
      <c r="E27" s="130" t="str">
        <f>IFERROR(IF(OR(F$5&gt;0,E$5&gt;0),(IFERROR(E$5/E$3,"0")+IFERROR(F$5/F$3,"0"))/($C$21/E$25)/100,""),"")</f>
        <v/>
      </c>
      <c r="F27" s="131"/>
      <c r="G27" s="130" t="str">
        <f>IFERROR(IF(OR(H$5&gt;0,G$5&gt;0),(IFERROR(G$5/G$3,"0")+IFERROR(H$5/H$3,"0"))/($C$21/G$25)/100,""),"")</f>
        <v/>
      </c>
      <c r="H27" s="131"/>
      <c r="I27" s="130" t="str">
        <f>IFERROR(IF(OR(J$5&gt;0,I$5&gt;0),(IFERROR(I$5/I$3,"0")+IFERROR(J$5/J$3,"0"))/($C$21/I$25)/100,""),"")</f>
        <v/>
      </c>
      <c r="J27" s="131"/>
      <c r="K27" s="130" t="str">
        <f>IFERROR(IF(OR(L$5&gt;0,K$5&gt;0),(IFERROR(K$5/K$3,"0")+IFERROR(L$5/L$3,"0"))/($C$21/K$25)/100,""),"")</f>
        <v/>
      </c>
      <c r="L27" s="131"/>
      <c r="M27" s="130" t="str">
        <f>IFERROR(IF(OR(N$5&gt;0,M$5&gt;0),(IFERROR(M$5/M$3,"0")+IFERROR(N$5/N$3,"0"))/($C$21/M$25)/100,""),"")</f>
        <v/>
      </c>
      <c r="N27" s="131"/>
      <c r="O27" s="130" t="str">
        <f>IFERROR(IF(OR(P$5&gt;0,O$5&gt;0),(IFERROR(O$5/O$3,"0")+IFERROR(P$5/P$3,"0"))/($C$21/O$25)/100,""),"")</f>
        <v/>
      </c>
      <c r="P27" s="131"/>
      <c r="Q27" s="130" t="str">
        <f>IFERROR(IF(OR(R$5&gt;0,Q$5&gt;0),(IFERROR(Q$5/Q$3,"0")+IFERROR(R$5/R$3,"0"))/($C$21/Q$25)/100,""),"")</f>
        <v/>
      </c>
      <c r="R27" s="131"/>
      <c r="S27" s="130" t="str">
        <f>IFERROR(IF(OR(T$5&gt;0,S$5&gt;0),(IFERROR(S$5/S$3,"0")+IFERROR(T$5/T$3,"0"))/($C$21/S$25)/100,""),"")</f>
        <v/>
      </c>
      <c r="T27" s="131"/>
      <c r="U27" s="130" t="str">
        <f>IFERROR(IF(OR(V$5&gt;0,U$5&gt;0),(IFERROR(U$5/U$3,"0")+IFERROR(V$5/V$3,"0"))/($C$21/U$25)/100,""),"")</f>
        <v/>
      </c>
      <c r="V27" s="131"/>
      <c r="W27" s="130" t="str">
        <f>IFERROR(IF(OR(X$5&gt;0,W$5&gt;0),(IFERROR(W$5/W$3,"0")+IFERROR(X$5/X$3,"0"))/($C$21/W$25)/100,""),"")</f>
        <v/>
      </c>
      <c r="X27" s="131"/>
    </row>
    <row r="28" spans="1:24" ht="21.75" customHeight="1" thickBot="1" x14ac:dyDescent="0.25">
      <c r="A28" s="82" t="s">
        <v>71</v>
      </c>
      <c r="B28" s="64"/>
      <c r="C28" s="142" t="str">
        <f>IF($C$21,IFERROR(C21*C13,""),"")</f>
        <v/>
      </c>
      <c r="D28" s="143"/>
    </row>
    <row r="29" spans="1:24" ht="27.95" customHeight="1" x14ac:dyDescent="0.2">
      <c r="A29" s="62" t="s">
        <v>66</v>
      </c>
      <c r="B29" s="65"/>
      <c r="C29" s="67" t="str">
        <f>IFERROR((C27/C26)*12,"")</f>
        <v/>
      </c>
      <c r="D29" s="68" t="str">
        <f>IFERROR(C29-C15,"")</f>
        <v/>
      </c>
    </row>
    <row r="30" spans="1:24" ht="27.95" customHeight="1" thickBot="1" x14ac:dyDescent="0.25">
      <c r="A30" s="17" t="s">
        <v>59</v>
      </c>
      <c r="B30" s="66"/>
      <c r="C30" s="69" t="str">
        <f>IFERROR(ROUNDDOWN(C21/D24,0),"")</f>
        <v/>
      </c>
      <c r="D30" s="18" t="str">
        <f>IFERROR(C30/C20,"")</f>
        <v/>
      </c>
    </row>
    <row r="31" spans="1:24" ht="27.95" customHeight="1" thickBot="1" x14ac:dyDescent="0.25">
      <c r="A31" s="78" t="s">
        <v>63</v>
      </c>
      <c r="B31" s="79"/>
      <c r="C31" s="134" t="str">
        <f>IFERROR((C13/C11)-(C27/C26),"")</f>
        <v/>
      </c>
      <c r="D31" s="135"/>
    </row>
    <row r="32" spans="1:24" ht="16.5" customHeight="1" x14ac:dyDescent="0.2">
      <c r="A32" s="2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</row>
  </sheetData>
  <sheetProtection sheet="1" objects="1" scenarios="1" selectLockedCells="1"/>
  <mergeCells count="62">
    <mergeCell ref="M25:N25"/>
    <mergeCell ref="M27:N27"/>
    <mergeCell ref="Q9:R9"/>
    <mergeCell ref="Q13:R13"/>
    <mergeCell ref="Q25:R25"/>
    <mergeCell ref="Q27:R27"/>
    <mergeCell ref="O9:P9"/>
    <mergeCell ref="O13:P13"/>
    <mergeCell ref="O25:P25"/>
    <mergeCell ref="W27:X27"/>
    <mergeCell ref="O27:P27"/>
    <mergeCell ref="G9:H9"/>
    <mergeCell ref="W9:X9"/>
    <mergeCell ref="W13:X13"/>
    <mergeCell ref="W25:X25"/>
    <mergeCell ref="U9:V9"/>
    <mergeCell ref="U13:V13"/>
    <mergeCell ref="U25:V25"/>
    <mergeCell ref="U27:V27"/>
    <mergeCell ref="S9:T9"/>
    <mergeCell ref="S13:T13"/>
    <mergeCell ref="S25:T25"/>
    <mergeCell ref="S27:T27"/>
    <mergeCell ref="M9:N9"/>
    <mergeCell ref="M13:N13"/>
    <mergeCell ref="C11:D11"/>
    <mergeCell ref="E13:F13"/>
    <mergeCell ref="C13:D13"/>
    <mergeCell ref="C12:D12"/>
    <mergeCell ref="E25:F25"/>
    <mergeCell ref="E18:F18"/>
    <mergeCell ref="C15:D15"/>
    <mergeCell ref="C20:D20"/>
    <mergeCell ref="A1:B1"/>
    <mergeCell ref="A8:A9"/>
    <mergeCell ref="C8:C9"/>
    <mergeCell ref="D8:D9"/>
    <mergeCell ref="C6:D6"/>
    <mergeCell ref="C5:D5"/>
    <mergeCell ref="C3:D3"/>
    <mergeCell ref="C31:D31"/>
    <mergeCell ref="C14:D14"/>
    <mergeCell ref="C26:D26"/>
    <mergeCell ref="C21:D21"/>
    <mergeCell ref="E27:F27"/>
    <mergeCell ref="C28:D28"/>
    <mergeCell ref="C17:D17"/>
    <mergeCell ref="C18:D18"/>
    <mergeCell ref="C19:D19"/>
    <mergeCell ref="K9:L9"/>
    <mergeCell ref="K13:L13"/>
    <mergeCell ref="K25:L25"/>
    <mergeCell ref="K27:L27"/>
    <mergeCell ref="I9:J9"/>
    <mergeCell ref="I13:J13"/>
    <mergeCell ref="I25:J25"/>
    <mergeCell ref="I27:J27"/>
    <mergeCell ref="E21:L21"/>
    <mergeCell ref="E9:F9"/>
    <mergeCell ref="G27:H27"/>
    <mergeCell ref="G25:H25"/>
    <mergeCell ref="G13:H13"/>
  </mergeCells>
  <conditionalFormatting sqref="C21:D21">
    <cfRule type="cellIs" dxfId="58" priority="352" operator="lessThan">
      <formula>$C$19</formula>
    </cfRule>
  </conditionalFormatting>
  <conditionalFormatting sqref="E22:E23">
    <cfRule type="cellIs" dxfId="57" priority="351" operator="lessThan">
      <formula>0.01</formula>
    </cfRule>
  </conditionalFormatting>
  <conditionalFormatting sqref="E5:F5">
    <cfRule type="cellIs" dxfId="56" priority="341" operator="lessThan">
      <formula>$C$5</formula>
    </cfRule>
  </conditionalFormatting>
  <conditionalFormatting sqref="E6:F6">
    <cfRule type="cellIs" dxfId="55" priority="328" operator="greaterThan">
      <formula>$C$6</formula>
    </cfRule>
  </conditionalFormatting>
  <conditionalFormatting sqref="F22:F23">
    <cfRule type="cellIs" dxfId="54" priority="324" operator="lessThan">
      <formula>0.01</formula>
    </cfRule>
  </conditionalFormatting>
  <conditionalFormatting sqref="G5:H5">
    <cfRule type="cellIs" dxfId="53" priority="72" operator="lessThan">
      <formula>$C$5</formula>
    </cfRule>
  </conditionalFormatting>
  <conditionalFormatting sqref="G6:H6">
    <cfRule type="cellIs" dxfId="52" priority="71" operator="greaterThan">
      <formula>$C$6</formula>
    </cfRule>
  </conditionalFormatting>
  <conditionalFormatting sqref="I5:J5">
    <cfRule type="cellIs" dxfId="51" priority="70" operator="lessThan">
      <formula>$C$5</formula>
    </cfRule>
  </conditionalFormatting>
  <conditionalFormatting sqref="I6:J6">
    <cfRule type="cellIs" dxfId="50" priority="69" operator="greaterThan">
      <formula>$C$6</formula>
    </cfRule>
  </conditionalFormatting>
  <conditionalFormatting sqref="K5:L5">
    <cfRule type="cellIs" dxfId="49" priority="68" operator="lessThan">
      <formula>$C$5</formula>
    </cfRule>
  </conditionalFormatting>
  <conditionalFormatting sqref="K6:L6">
    <cfRule type="cellIs" dxfId="48" priority="67" operator="greaterThan">
      <formula>$C$6</formula>
    </cfRule>
  </conditionalFormatting>
  <conditionalFormatting sqref="M5:N5">
    <cfRule type="cellIs" dxfId="47" priority="66" operator="lessThan">
      <formula>$C$5</formula>
    </cfRule>
  </conditionalFormatting>
  <conditionalFormatting sqref="M6:N6">
    <cfRule type="cellIs" dxfId="46" priority="65" operator="greaterThan">
      <formula>$C$6</formula>
    </cfRule>
  </conditionalFormatting>
  <conditionalFormatting sqref="O5:P5">
    <cfRule type="cellIs" dxfId="45" priority="64" operator="lessThan">
      <formula>$C$5</formula>
    </cfRule>
  </conditionalFormatting>
  <conditionalFormatting sqref="O6:P6">
    <cfRule type="cellIs" dxfId="44" priority="63" operator="greaterThan">
      <formula>$C$6</formula>
    </cfRule>
  </conditionalFormatting>
  <conditionalFormatting sqref="Q5:R5">
    <cfRule type="cellIs" dxfId="43" priority="62" operator="lessThan">
      <formula>$C$5</formula>
    </cfRule>
  </conditionalFormatting>
  <conditionalFormatting sqref="Q6:R6">
    <cfRule type="cellIs" dxfId="42" priority="61" operator="greaterThan">
      <formula>$C$6</formula>
    </cfRule>
  </conditionalFormatting>
  <conditionalFormatting sqref="S5:T5">
    <cfRule type="cellIs" dxfId="41" priority="60" operator="lessThan">
      <formula>$C$5</formula>
    </cfRule>
  </conditionalFormatting>
  <conditionalFormatting sqref="S6:T6">
    <cfRule type="cellIs" dxfId="40" priority="59" operator="greaterThan">
      <formula>$C$6</formula>
    </cfRule>
  </conditionalFormatting>
  <conditionalFormatting sqref="U5:V5">
    <cfRule type="cellIs" dxfId="39" priority="58" operator="lessThan">
      <formula>$C$5</formula>
    </cfRule>
  </conditionalFormatting>
  <conditionalFormatting sqref="U6:V6">
    <cfRule type="cellIs" dxfId="38" priority="57" operator="greaterThan">
      <formula>$C$6</formula>
    </cfRule>
  </conditionalFormatting>
  <conditionalFormatting sqref="W5:X5">
    <cfRule type="cellIs" dxfId="37" priority="56" operator="lessThan">
      <formula>$C$5</formula>
    </cfRule>
  </conditionalFormatting>
  <conditionalFormatting sqref="W6:X6">
    <cfRule type="cellIs" dxfId="36" priority="55" operator="greaterThan">
      <formula>$C$6</formula>
    </cfRule>
  </conditionalFormatting>
  <conditionalFormatting sqref="G23">
    <cfRule type="cellIs" dxfId="35" priority="36" operator="lessThan">
      <formula>0.01</formula>
    </cfRule>
  </conditionalFormatting>
  <conditionalFormatting sqref="H23">
    <cfRule type="cellIs" dxfId="34" priority="35" operator="lessThan">
      <formula>0.01</formula>
    </cfRule>
  </conditionalFormatting>
  <conditionalFormatting sqref="I23">
    <cfRule type="cellIs" dxfId="33" priority="34" operator="lessThan">
      <formula>0.01</formula>
    </cfRule>
  </conditionalFormatting>
  <conditionalFormatting sqref="J23">
    <cfRule type="cellIs" dxfId="32" priority="33" operator="lessThan">
      <formula>0.01</formula>
    </cfRule>
  </conditionalFormatting>
  <conditionalFormatting sqref="K23">
    <cfRule type="cellIs" dxfId="31" priority="32" operator="lessThan">
      <formula>0.01</formula>
    </cfRule>
  </conditionalFormatting>
  <conditionalFormatting sqref="L23">
    <cfRule type="cellIs" dxfId="30" priority="31" operator="lessThan">
      <formula>0.01</formula>
    </cfRule>
  </conditionalFormatting>
  <conditionalFormatting sqref="M23">
    <cfRule type="cellIs" dxfId="29" priority="30" operator="lessThan">
      <formula>0.01</formula>
    </cfRule>
  </conditionalFormatting>
  <conditionalFormatting sqref="N23">
    <cfRule type="cellIs" dxfId="28" priority="29" operator="lessThan">
      <formula>0.01</formula>
    </cfRule>
  </conditionalFormatting>
  <conditionalFormatting sqref="O23">
    <cfRule type="cellIs" dxfId="27" priority="28" operator="lessThan">
      <formula>0.01</formula>
    </cfRule>
  </conditionalFormatting>
  <conditionalFormatting sqref="P23">
    <cfRule type="cellIs" dxfId="26" priority="27" operator="lessThan">
      <formula>0.01</formula>
    </cfRule>
  </conditionalFormatting>
  <conditionalFormatting sqref="Q23">
    <cfRule type="cellIs" dxfId="25" priority="26" operator="lessThan">
      <formula>0.01</formula>
    </cfRule>
  </conditionalFormatting>
  <conditionalFormatting sqref="R23">
    <cfRule type="cellIs" dxfId="24" priority="25" operator="lessThan">
      <formula>0.01</formula>
    </cfRule>
  </conditionalFormatting>
  <conditionalFormatting sqref="S23">
    <cfRule type="cellIs" dxfId="23" priority="24" operator="lessThan">
      <formula>0.01</formula>
    </cfRule>
  </conditionalFormatting>
  <conditionalFormatting sqref="T23">
    <cfRule type="cellIs" dxfId="22" priority="23" operator="lessThan">
      <formula>0.01</formula>
    </cfRule>
  </conditionalFormatting>
  <conditionalFormatting sqref="U23">
    <cfRule type="cellIs" dxfId="21" priority="22" operator="lessThan">
      <formula>0.01</formula>
    </cfRule>
  </conditionalFormatting>
  <conditionalFormatting sqref="V23">
    <cfRule type="cellIs" dxfId="20" priority="21" operator="lessThan">
      <formula>0.01</formula>
    </cfRule>
  </conditionalFormatting>
  <conditionalFormatting sqref="W23">
    <cfRule type="cellIs" dxfId="19" priority="20" operator="lessThan">
      <formula>0.01</formula>
    </cfRule>
  </conditionalFormatting>
  <conditionalFormatting sqref="X23">
    <cfRule type="cellIs" dxfId="18" priority="19" operator="lessThan">
      <formula>0.01</formula>
    </cfRule>
  </conditionalFormatting>
  <conditionalFormatting sqref="G22">
    <cfRule type="cellIs" dxfId="17" priority="18" operator="lessThan">
      <formula>0.01</formula>
    </cfRule>
  </conditionalFormatting>
  <conditionalFormatting sqref="H22">
    <cfRule type="cellIs" dxfId="16" priority="17" operator="lessThan">
      <formula>0.01</formula>
    </cfRule>
  </conditionalFormatting>
  <conditionalFormatting sqref="I22">
    <cfRule type="cellIs" dxfId="15" priority="16" operator="lessThan">
      <formula>0.01</formula>
    </cfRule>
  </conditionalFormatting>
  <conditionalFormatting sqref="J22">
    <cfRule type="cellIs" dxfId="14" priority="15" operator="lessThan">
      <formula>0.01</formula>
    </cfRule>
  </conditionalFormatting>
  <conditionalFormatting sqref="K22">
    <cfRule type="cellIs" dxfId="13" priority="14" operator="lessThan">
      <formula>0.01</formula>
    </cfRule>
  </conditionalFormatting>
  <conditionalFormatting sqref="L22">
    <cfRule type="cellIs" dxfId="12" priority="13" operator="lessThan">
      <formula>0.01</formula>
    </cfRule>
  </conditionalFormatting>
  <conditionalFormatting sqref="M22">
    <cfRule type="cellIs" dxfId="11" priority="12" operator="lessThan">
      <formula>0.01</formula>
    </cfRule>
  </conditionalFormatting>
  <conditionalFormatting sqref="N22">
    <cfRule type="cellIs" dxfId="10" priority="11" operator="lessThan">
      <formula>0.01</formula>
    </cfRule>
  </conditionalFormatting>
  <conditionalFormatting sqref="O22">
    <cfRule type="cellIs" dxfId="9" priority="10" operator="lessThan">
      <formula>0.01</formula>
    </cfRule>
  </conditionalFormatting>
  <conditionalFormatting sqref="P22">
    <cfRule type="cellIs" dxfId="8" priority="9" operator="lessThan">
      <formula>0.01</formula>
    </cfRule>
  </conditionalFormatting>
  <conditionalFormatting sqref="Q22">
    <cfRule type="cellIs" dxfId="7" priority="8" operator="lessThan">
      <formula>0.01</formula>
    </cfRule>
  </conditionalFormatting>
  <conditionalFormatting sqref="R22">
    <cfRule type="cellIs" dxfId="6" priority="7" operator="lessThan">
      <formula>0.01</formula>
    </cfRule>
  </conditionalFormatting>
  <conditionalFormatting sqref="S22">
    <cfRule type="cellIs" dxfId="5" priority="6" operator="lessThan">
      <formula>0.01</formula>
    </cfRule>
  </conditionalFormatting>
  <conditionalFormatting sqref="T22">
    <cfRule type="cellIs" dxfId="4" priority="5" operator="lessThan">
      <formula>0.01</formula>
    </cfRule>
  </conditionalFormatting>
  <conditionalFormatting sqref="U22">
    <cfRule type="cellIs" dxfId="3" priority="4" operator="lessThan">
      <formula>0.01</formula>
    </cfRule>
  </conditionalFormatting>
  <conditionalFormatting sqref="V22">
    <cfRule type="cellIs" dxfId="2" priority="3" operator="lessThan">
      <formula>0.01</formula>
    </cfRule>
  </conditionalFormatting>
  <conditionalFormatting sqref="W22">
    <cfRule type="cellIs" dxfId="1" priority="2" operator="lessThan">
      <formula>0.01</formula>
    </cfRule>
  </conditionalFormatting>
  <conditionalFormatting sqref="X22">
    <cfRule type="cellIs" dxfId="0" priority="1" operator="lessThan">
      <formula>0.01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15" sqref="H15"/>
    </sheetView>
  </sheetViews>
  <sheetFormatPr defaultRowHeight="12.75" x14ac:dyDescent="0.2"/>
  <cols>
    <col min="1" max="1" width="34.140625" customWidth="1"/>
    <col min="2" max="2" width="0.140625" customWidth="1"/>
    <col min="3" max="3" width="13" customWidth="1"/>
    <col min="4" max="22" width="12.28515625" customWidth="1"/>
    <col min="23" max="29" width="11.5703125" customWidth="1"/>
    <col min="30" max="31" width="11.42578125" customWidth="1"/>
    <col min="32" max="32" width="12.140625" customWidth="1"/>
  </cols>
  <sheetData>
    <row r="1" spans="1:31" ht="27.75" customHeight="1" thickBot="1" x14ac:dyDescent="0.25">
      <c r="A1" s="173" t="s">
        <v>99</v>
      </c>
      <c r="B1" s="174"/>
      <c r="C1" s="114" t="s">
        <v>14</v>
      </c>
      <c r="D1" s="115" t="s">
        <v>26</v>
      </c>
      <c r="E1" s="116" t="s">
        <v>9</v>
      </c>
      <c r="F1" s="114" t="s">
        <v>13</v>
      </c>
      <c r="G1" s="116" t="s">
        <v>5</v>
      </c>
      <c r="H1" s="117" t="s">
        <v>31</v>
      </c>
      <c r="I1" s="117" t="s">
        <v>32</v>
      </c>
      <c r="J1" s="116" t="s">
        <v>7</v>
      </c>
      <c r="K1" s="114" t="s">
        <v>23</v>
      </c>
      <c r="L1" s="114" t="s">
        <v>21</v>
      </c>
      <c r="M1" s="116" t="s">
        <v>11</v>
      </c>
      <c r="N1" s="116" t="s">
        <v>6</v>
      </c>
      <c r="O1" s="116" t="s">
        <v>8</v>
      </c>
      <c r="P1" s="117" t="s">
        <v>33</v>
      </c>
      <c r="Q1" s="117" t="s">
        <v>0</v>
      </c>
      <c r="R1" s="117" t="s">
        <v>28</v>
      </c>
      <c r="S1" s="117" t="s">
        <v>29</v>
      </c>
      <c r="T1" s="114" t="s">
        <v>24</v>
      </c>
      <c r="U1" s="116" t="s">
        <v>10</v>
      </c>
      <c r="V1" s="116" t="s">
        <v>35</v>
      </c>
      <c r="W1" s="116" t="s">
        <v>1</v>
      </c>
      <c r="X1" s="115" t="s">
        <v>27</v>
      </c>
      <c r="Y1" s="118" t="s">
        <v>34</v>
      </c>
      <c r="Z1" s="117" t="s">
        <v>30</v>
      </c>
      <c r="AA1" s="116" t="s">
        <v>12</v>
      </c>
      <c r="AB1" s="116" t="s">
        <v>4</v>
      </c>
      <c r="AC1" s="116" t="s">
        <v>2</v>
      </c>
      <c r="AD1" s="119" t="s">
        <v>3</v>
      </c>
      <c r="AE1" s="120" t="s">
        <v>36</v>
      </c>
    </row>
    <row r="2" spans="1:31" ht="18" customHeight="1" thickBot="1" x14ac:dyDescent="0.25">
      <c r="A2" s="3" t="s">
        <v>15</v>
      </c>
      <c r="B2" s="2"/>
      <c r="C2" s="121" t="s">
        <v>19</v>
      </c>
      <c r="D2" s="122" t="s">
        <v>22</v>
      </c>
      <c r="E2" s="121" t="s">
        <v>18</v>
      </c>
      <c r="F2" s="121" t="s">
        <v>20</v>
      </c>
      <c r="G2" s="121" t="s">
        <v>17</v>
      </c>
      <c r="H2" s="121"/>
      <c r="I2" s="121"/>
      <c r="J2" s="121" t="s">
        <v>19</v>
      </c>
      <c r="K2" s="121" t="s">
        <v>19</v>
      </c>
      <c r="L2" s="121" t="s">
        <v>20</v>
      </c>
      <c r="M2" s="121" t="s">
        <v>19</v>
      </c>
      <c r="N2" s="121" t="s">
        <v>17</v>
      </c>
      <c r="O2" s="121" t="s">
        <v>18</v>
      </c>
      <c r="P2" s="121"/>
      <c r="Q2" s="121" t="s">
        <v>17</v>
      </c>
      <c r="R2" s="121" t="s">
        <v>25</v>
      </c>
      <c r="S2" s="121" t="s">
        <v>25</v>
      </c>
      <c r="T2" s="121" t="s">
        <v>38</v>
      </c>
      <c r="U2" s="121" t="s">
        <v>19</v>
      </c>
      <c r="V2" s="121"/>
      <c r="W2" s="121" t="s">
        <v>18</v>
      </c>
      <c r="X2" s="122" t="s">
        <v>20</v>
      </c>
      <c r="Y2" s="121" t="s">
        <v>20</v>
      </c>
      <c r="Z2" s="123"/>
      <c r="AA2" s="121" t="s">
        <v>18</v>
      </c>
      <c r="AB2" s="121" t="s">
        <v>18</v>
      </c>
      <c r="AC2" s="121" t="s">
        <v>19</v>
      </c>
      <c r="AD2" s="122" t="s">
        <v>17</v>
      </c>
      <c r="AE2" s="121" t="s">
        <v>37</v>
      </c>
    </row>
    <row r="3" spans="1:31" ht="18" customHeight="1" thickBot="1" x14ac:dyDescent="0.25">
      <c r="A3" s="3" t="s">
        <v>43</v>
      </c>
      <c r="B3" s="2"/>
      <c r="C3" s="121" t="s">
        <v>44</v>
      </c>
      <c r="D3" s="122" t="s">
        <v>39</v>
      </c>
      <c r="E3" s="121" t="s">
        <v>22</v>
      </c>
      <c r="F3" s="121" t="s">
        <v>25</v>
      </c>
      <c r="G3" s="121" t="s">
        <v>22</v>
      </c>
      <c r="H3" s="121" t="s">
        <v>45</v>
      </c>
      <c r="I3" s="121" t="s">
        <v>20</v>
      </c>
      <c r="J3" s="121" t="s">
        <v>39</v>
      </c>
      <c r="K3" s="121" t="s">
        <v>25</v>
      </c>
      <c r="L3" s="121" t="s">
        <v>25</v>
      </c>
      <c r="M3" s="121" t="s">
        <v>44</v>
      </c>
      <c r="N3" s="121" t="s">
        <v>19</v>
      </c>
      <c r="O3" s="121" t="s">
        <v>22</v>
      </c>
      <c r="P3" s="121" t="s">
        <v>46</v>
      </c>
      <c r="Q3" s="121" t="s">
        <v>19</v>
      </c>
      <c r="R3" s="121" t="s">
        <v>46</v>
      </c>
      <c r="S3" s="121" t="s">
        <v>46</v>
      </c>
      <c r="T3" s="121" t="s">
        <v>47</v>
      </c>
      <c r="U3" s="121" t="s">
        <v>48</v>
      </c>
      <c r="V3" s="121" t="s">
        <v>49</v>
      </c>
      <c r="W3" s="121" t="s">
        <v>50</v>
      </c>
      <c r="X3" s="122" t="s">
        <v>51</v>
      </c>
      <c r="Y3" s="121" t="s">
        <v>41</v>
      </c>
      <c r="Z3" s="123" t="s">
        <v>20</v>
      </c>
      <c r="AA3" s="121" t="s">
        <v>22</v>
      </c>
      <c r="AB3" s="121" t="s">
        <v>20</v>
      </c>
      <c r="AC3" s="121" t="s">
        <v>37</v>
      </c>
      <c r="AD3" s="122" t="s">
        <v>22</v>
      </c>
      <c r="AE3" s="121"/>
    </row>
    <row r="4" spans="1:31" ht="18" customHeight="1" thickBot="1" x14ac:dyDescent="0.25">
      <c r="A4" s="3" t="s">
        <v>16</v>
      </c>
      <c r="B4" s="2"/>
      <c r="C4" s="121" t="s">
        <v>20</v>
      </c>
      <c r="D4" s="122" t="s">
        <v>20</v>
      </c>
      <c r="E4" s="121" t="s">
        <v>19</v>
      </c>
      <c r="F4" s="121" t="s">
        <v>20</v>
      </c>
      <c r="G4" s="121" t="s">
        <v>18</v>
      </c>
      <c r="H4" s="121" t="s">
        <v>20</v>
      </c>
      <c r="I4" s="121" t="s">
        <v>22</v>
      </c>
      <c r="J4" s="121" t="s">
        <v>39</v>
      </c>
      <c r="K4" s="121" t="s">
        <v>20</v>
      </c>
      <c r="L4" s="121" t="s">
        <v>38</v>
      </c>
      <c r="M4" s="121" t="s">
        <v>22</v>
      </c>
      <c r="N4" s="121" t="s">
        <v>52</v>
      </c>
      <c r="O4" s="121" t="s">
        <v>19</v>
      </c>
      <c r="P4" s="121" t="s">
        <v>25</v>
      </c>
      <c r="Q4" s="121" t="s">
        <v>40</v>
      </c>
      <c r="R4" s="121" t="s">
        <v>41</v>
      </c>
      <c r="S4" s="121" t="s">
        <v>41</v>
      </c>
      <c r="T4" s="121" t="s">
        <v>41</v>
      </c>
      <c r="U4" s="121" t="s">
        <v>20</v>
      </c>
      <c r="V4" s="121" t="s">
        <v>42</v>
      </c>
      <c r="W4" s="121" t="s">
        <v>19</v>
      </c>
      <c r="X4" s="122" t="s">
        <v>25</v>
      </c>
      <c r="Y4" s="121" t="s">
        <v>20</v>
      </c>
      <c r="Z4" s="123" t="s">
        <v>19</v>
      </c>
      <c r="AA4" s="121" t="s">
        <v>18</v>
      </c>
      <c r="AB4" s="121" t="s">
        <v>19</v>
      </c>
      <c r="AC4" s="121" t="s">
        <v>19</v>
      </c>
      <c r="AD4" s="122" t="s">
        <v>18</v>
      </c>
      <c r="AE4" s="121" t="s">
        <v>25</v>
      </c>
    </row>
    <row r="5" spans="1:31" ht="21" customHeight="1" x14ac:dyDescent="0.2"/>
  </sheetData>
  <sheetProtection sheet="1" objects="1" scenarios="1" selectLockedCells="1"/>
  <mergeCells count="1">
    <mergeCell ref="A1:B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workbookViewId="0">
      <selection activeCell="E2" sqref="E2"/>
    </sheetView>
  </sheetViews>
  <sheetFormatPr defaultRowHeight="12.75" x14ac:dyDescent="0.2"/>
  <cols>
    <col min="7" max="7" width="14" customWidth="1"/>
    <col min="8" max="8" width="15.140625" customWidth="1"/>
  </cols>
  <sheetData>
    <row r="1" spans="2:8" ht="13.5" thickBot="1" x14ac:dyDescent="0.25"/>
    <row r="2" spans="2:8" ht="15" x14ac:dyDescent="0.2">
      <c r="B2" s="177" t="s">
        <v>90</v>
      </c>
      <c r="C2" s="178"/>
      <c r="D2" s="178"/>
      <c r="E2" s="106"/>
    </row>
    <row r="3" spans="2:8" ht="15" x14ac:dyDescent="0.2">
      <c r="B3" s="179" t="s">
        <v>94</v>
      </c>
      <c r="C3" s="180"/>
      <c r="D3" s="180"/>
      <c r="E3" s="107"/>
      <c r="G3" s="111" t="s">
        <v>91</v>
      </c>
      <c r="H3" s="111" t="s">
        <v>92</v>
      </c>
    </row>
    <row r="4" spans="2:8" ht="15.75" thickBot="1" x14ac:dyDescent="0.25">
      <c r="B4" s="175" t="s">
        <v>98</v>
      </c>
      <c r="C4" s="176"/>
      <c r="D4" s="176"/>
      <c r="E4" s="113"/>
      <c r="G4" s="105">
        <v>40910</v>
      </c>
      <c r="H4" s="105">
        <v>44133</v>
      </c>
    </row>
    <row r="5" spans="2:8" ht="15" x14ac:dyDescent="0.2">
      <c r="B5" s="181" t="s">
        <v>93</v>
      </c>
      <c r="C5" s="182"/>
      <c r="D5" s="183"/>
      <c r="E5" s="112">
        <f>IF(AND(G4&gt;0,H4&gt;0),(H4-G4)/30.5,"")</f>
        <v>105.67213114754098</v>
      </c>
    </row>
    <row r="6" spans="2:8" x14ac:dyDescent="0.2">
      <c r="B6" s="184" t="s">
        <v>95</v>
      </c>
      <c r="C6" s="185"/>
      <c r="D6" s="186"/>
      <c r="E6" s="108" t="str">
        <f>IF(E2,E4/E5/E2,"")</f>
        <v/>
      </c>
    </row>
    <row r="7" spans="2:8" x14ac:dyDescent="0.2">
      <c r="B7" s="181"/>
      <c r="C7" s="182"/>
      <c r="D7" s="183"/>
      <c r="E7" s="109" t="str">
        <f>IF(E2,E2*E6,"")</f>
        <v/>
      </c>
    </row>
    <row r="8" spans="2:8" ht="15.75" thickBot="1" x14ac:dyDescent="0.25">
      <c r="B8" s="175" t="s">
        <v>96</v>
      </c>
      <c r="C8" s="176"/>
      <c r="D8" s="176"/>
      <c r="E8" s="110" t="str">
        <f>IF(E3,E3/E7,"")</f>
        <v/>
      </c>
    </row>
  </sheetData>
  <sheetProtection sheet="1" objects="1" scenarios="1" selectLockedCells="1"/>
  <mergeCells count="6">
    <mergeCell ref="B8:D8"/>
    <mergeCell ref="B2:D2"/>
    <mergeCell ref="B3:D3"/>
    <mergeCell ref="B4:D4"/>
    <mergeCell ref="B5:D5"/>
    <mergeCell ref="B6:D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ТС</vt:lpstr>
      <vt:lpstr>Спреды</vt:lpstr>
      <vt:lpstr>Расчет месячной прибыли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Phoenix</cp:lastModifiedBy>
  <cp:lastPrinted>2019-01-08T15:07:15Z</cp:lastPrinted>
  <dcterms:created xsi:type="dcterms:W3CDTF">2016-02-20T10:06:05Z</dcterms:created>
  <dcterms:modified xsi:type="dcterms:W3CDTF">2020-12-17T19:08:57Z</dcterms:modified>
  <cp:contentStatus/>
</cp:coreProperties>
</file>